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8cddf5741baf319/Projetos Acadêmicos/Curso CREA/PLANEJAMENTO DE OBRAS CREA/"/>
    </mc:Choice>
  </mc:AlternateContent>
  <xr:revisionPtr revIDLastSave="165" documentId="5C4978FE3E6B74E670C7D1DBF89A39AB36152179" xr6:coauthVersionLast="47" xr6:coauthVersionMax="47" xr10:uidLastSave="{ED6DA651-629B-4A8E-92AD-64243FA6B3CE}"/>
  <bookViews>
    <workbookView xWindow="-108" yWindow="-108" windowWidth="23256" windowHeight="12576" activeTab="1" xr2:uid="{00000000-000D-0000-FFFF-FFFF00000000}"/>
  </bookViews>
  <sheets>
    <sheet name="CURVA S" sheetId="1" r:id="rId1"/>
    <sheet name="HISTOGRAM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D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C14" i="1"/>
  <c r="C9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C13" i="1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C98" i="1"/>
  <c r="B54" i="1"/>
  <c r="D23" i="1"/>
  <c r="AC16" i="1"/>
  <c r="E31" i="1"/>
  <c r="E25" i="1"/>
  <c r="C12" i="1" s="1"/>
  <c r="D12" i="1" s="1"/>
  <c r="E12" i="1" s="1"/>
  <c r="F12" i="1" s="1"/>
  <c r="G12" i="1" s="1"/>
  <c r="H12" i="1" s="1"/>
  <c r="I12" i="1" s="1"/>
  <c r="J12" i="1" s="1"/>
  <c r="K12" i="1" s="1"/>
  <c r="L12" i="1" s="1"/>
  <c r="M12" i="1" s="1"/>
  <c r="N12" i="1" s="1"/>
  <c r="O12" i="1" s="1"/>
  <c r="P12" i="1" s="1"/>
  <c r="Q12" i="1" s="1"/>
  <c r="R12" i="1" s="1"/>
  <c r="S12" i="1" s="1"/>
  <c r="T12" i="1" s="1"/>
  <c r="U12" i="1" s="1"/>
  <c r="V12" i="1" s="1"/>
  <c r="W12" i="1" s="1"/>
  <c r="X12" i="1" s="1"/>
  <c r="Y12" i="1" s="1"/>
  <c r="Z12" i="1" s="1"/>
  <c r="AA12" i="1" s="1"/>
  <c r="AB12" i="1" s="1"/>
  <c r="AC12" i="1" s="1"/>
  <c r="C144" i="1"/>
  <c r="C143" i="1"/>
  <c r="C97" i="1"/>
  <c r="I58" i="1"/>
  <c r="AB16" i="1"/>
  <c r="D16" i="1"/>
  <c r="E16" i="1"/>
  <c r="D22" i="1" s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C16" i="1"/>
  <c r="E55" i="1" l="1"/>
  <c r="E56" i="1"/>
  <c r="E57" i="1"/>
  <c r="D24" i="1"/>
  <c r="AC11" i="1" s="1"/>
  <c r="E30" i="1"/>
  <c r="D31" i="1" s="1"/>
  <c r="E29" i="1"/>
  <c r="X11" i="1" l="1"/>
  <c r="U11" i="1"/>
  <c r="Y11" i="1"/>
  <c r="AA11" i="1"/>
  <c r="R11" i="1"/>
  <c r="V11" i="1"/>
  <c r="Z11" i="1"/>
  <c r="S11" i="1"/>
  <c r="W11" i="1"/>
  <c r="T11" i="1"/>
  <c r="AB11" i="1"/>
  <c r="D30" i="1"/>
  <c r="O11" i="1"/>
  <c r="K11" i="1"/>
  <c r="G11" i="1"/>
  <c r="C11" i="1"/>
  <c r="N11" i="1"/>
  <c r="J11" i="1"/>
  <c r="F11" i="1"/>
  <c r="Q11" i="1"/>
  <c r="M11" i="1"/>
  <c r="I11" i="1"/>
  <c r="E11" i="1"/>
  <c r="P11" i="1"/>
  <c r="L11" i="1"/>
  <c r="H11" i="1"/>
  <c r="D11" i="1"/>
  <c r="C5" i="1"/>
  <c r="D32" i="2" l="1"/>
  <c r="E32" i="2" s="1"/>
  <c r="F32" i="2" s="1"/>
  <c r="G32" i="2" s="1"/>
  <c r="H32" i="2" s="1"/>
  <c r="I32" i="2" s="1"/>
  <c r="J32" i="2" s="1"/>
  <c r="K32" i="2" s="1"/>
  <c r="L32" i="2" s="1"/>
  <c r="M32" i="2" s="1"/>
  <c r="N32" i="2" s="1"/>
  <c r="O32" i="2" s="1"/>
  <c r="P32" i="2" s="1"/>
  <c r="Q32" i="2" s="1"/>
  <c r="R32" i="2" s="1"/>
  <c r="S32" i="2" s="1"/>
  <c r="T32" i="2" s="1"/>
  <c r="U32" i="2" s="1"/>
  <c r="V32" i="2" s="1"/>
  <c r="W32" i="2" s="1"/>
  <c r="X32" i="2" s="1"/>
  <c r="Y32" i="2" s="1"/>
  <c r="Z32" i="2" s="1"/>
  <c r="AA32" i="2" s="1"/>
  <c r="AB32" i="2" s="1"/>
  <c r="AC32" i="2" s="1"/>
  <c r="H144" i="1" l="1"/>
  <c r="H145" i="1"/>
  <c r="H146" i="1"/>
  <c r="H147" i="1"/>
  <c r="H148" i="1"/>
  <c r="H143" i="1"/>
  <c r="B102" i="1"/>
  <c r="B138" i="1" s="1"/>
  <c r="B103" i="1"/>
  <c r="G100" i="1"/>
  <c r="G99" i="1"/>
  <c r="G98" i="1"/>
  <c r="G97" i="1"/>
  <c r="C60" i="1"/>
  <c r="C102" i="1" s="1"/>
  <c r="C138" i="1" s="1"/>
  <c r="B56" i="1"/>
  <c r="D6" i="1"/>
  <c r="C17" i="1" l="1"/>
  <c r="I57" i="1"/>
  <c r="E6" i="1"/>
  <c r="E5" i="1" s="1"/>
  <c r="D5" i="1"/>
  <c r="D60" i="1"/>
  <c r="D102" i="1" s="1"/>
  <c r="D138" i="1" s="1"/>
  <c r="D9" i="1"/>
  <c r="I56" i="1"/>
  <c r="D17" i="1" l="1"/>
  <c r="E9" i="1"/>
  <c r="E60" i="1"/>
  <c r="E102" i="1" s="1"/>
  <c r="E138" i="1" s="1"/>
  <c r="F6" i="1"/>
  <c r="F5" i="1" s="1"/>
  <c r="F9" i="1" l="1"/>
  <c r="E17" i="1"/>
  <c r="F60" i="1"/>
  <c r="F102" i="1" s="1"/>
  <c r="F138" i="1" s="1"/>
  <c r="G6" i="1"/>
  <c r="G5" i="1" s="1"/>
  <c r="G9" i="1" l="1"/>
  <c r="F17" i="1"/>
  <c r="G60" i="1"/>
  <c r="G102" i="1" s="1"/>
  <c r="G138" i="1" s="1"/>
  <c r="H6" i="1"/>
  <c r="H5" i="1" s="1"/>
  <c r="H9" i="1" l="1"/>
  <c r="G17" i="1"/>
  <c r="I6" i="1"/>
  <c r="I5" i="1" s="1"/>
  <c r="H60" i="1"/>
  <c r="H102" i="1" s="1"/>
  <c r="H138" i="1" s="1"/>
  <c r="I9" i="1" l="1"/>
  <c r="H17" i="1"/>
  <c r="I60" i="1"/>
  <c r="I102" i="1" s="1"/>
  <c r="I138" i="1" s="1"/>
  <c r="J6" i="1"/>
  <c r="J5" i="1" s="1"/>
  <c r="J9" i="1" l="1"/>
  <c r="I17" i="1"/>
  <c r="J60" i="1"/>
  <c r="J102" i="1" s="1"/>
  <c r="J138" i="1" s="1"/>
  <c r="K6" i="1"/>
  <c r="K5" i="1" s="1"/>
  <c r="K9" i="1" l="1"/>
  <c r="J17" i="1"/>
  <c r="K60" i="1"/>
  <c r="K102" i="1" s="1"/>
  <c r="K138" i="1" s="1"/>
  <c r="L6" i="1"/>
  <c r="L5" i="1" s="1"/>
  <c r="L9" i="1" l="1"/>
  <c r="K17" i="1"/>
  <c r="L60" i="1"/>
  <c r="L102" i="1" s="1"/>
  <c r="L138" i="1" s="1"/>
  <c r="M6" i="1"/>
  <c r="M5" i="1" s="1"/>
  <c r="M9" i="1" l="1"/>
  <c r="L17" i="1"/>
  <c r="M60" i="1"/>
  <c r="M102" i="1" s="1"/>
  <c r="M138" i="1" s="1"/>
  <c r="N6" i="1"/>
  <c r="N5" i="1" s="1"/>
  <c r="N9" i="1" l="1"/>
  <c r="M17" i="1"/>
  <c r="N60" i="1"/>
  <c r="N102" i="1" s="1"/>
  <c r="N138" i="1" s="1"/>
  <c r="O6" i="1"/>
  <c r="O5" i="1" s="1"/>
  <c r="O9" i="1" l="1"/>
  <c r="N17" i="1"/>
  <c r="O60" i="1"/>
  <c r="O102" i="1" s="1"/>
  <c r="O138" i="1" s="1"/>
  <c r="P6" i="1"/>
  <c r="P5" i="1" s="1"/>
  <c r="P9" i="1" l="1"/>
  <c r="O17" i="1"/>
  <c r="P60" i="1"/>
  <c r="P102" i="1" s="1"/>
  <c r="P138" i="1" s="1"/>
  <c r="Q6" i="1"/>
  <c r="R6" i="1" s="1"/>
  <c r="S6" i="1" l="1"/>
  <c r="R60" i="1"/>
  <c r="R102" i="1" s="1"/>
  <c r="R138" i="1" s="1"/>
  <c r="R5" i="1"/>
  <c r="Q9" i="1"/>
  <c r="P17" i="1"/>
  <c r="Q5" i="1"/>
  <c r="G29" i="1" s="1"/>
  <c r="Q60" i="1"/>
  <c r="Q102" i="1" s="1"/>
  <c r="Q138" i="1" s="1"/>
  <c r="Q17" i="1" l="1"/>
  <c r="R9" i="1"/>
  <c r="T6" i="1"/>
  <c r="S60" i="1"/>
  <c r="S102" i="1" s="1"/>
  <c r="S138" i="1" s="1"/>
  <c r="S5" i="1"/>
  <c r="B57" i="1"/>
  <c r="U6" i="1" l="1"/>
  <c r="T60" i="1"/>
  <c r="T102" i="1" s="1"/>
  <c r="T138" i="1" s="1"/>
  <c r="T5" i="1"/>
  <c r="R17" i="1"/>
  <c r="S9" i="1"/>
  <c r="F55" i="1"/>
  <c r="G55" i="1" s="1"/>
  <c r="F57" i="1"/>
  <c r="G57" i="1" s="1"/>
  <c r="F56" i="1"/>
  <c r="G56" i="1" s="1"/>
  <c r="I144" i="1"/>
  <c r="I148" i="1"/>
  <c r="I147" i="1"/>
  <c r="I145" i="1"/>
  <c r="I146" i="1"/>
  <c r="I143" i="1"/>
  <c r="H98" i="1"/>
  <c r="H97" i="1"/>
  <c r="H99" i="1"/>
  <c r="H100" i="1"/>
  <c r="J56" i="1"/>
  <c r="J57" i="1" s="1"/>
  <c r="S17" i="1" l="1"/>
  <c r="T9" i="1"/>
  <c r="V6" i="1"/>
  <c r="U60" i="1"/>
  <c r="U102" i="1" s="1"/>
  <c r="U138" i="1" s="1"/>
  <c r="U5" i="1"/>
  <c r="G58" i="1"/>
  <c r="T17" i="1" l="1"/>
  <c r="U9" i="1"/>
  <c r="W6" i="1"/>
  <c r="V60" i="1"/>
  <c r="V102" i="1" s="1"/>
  <c r="V138" i="1" s="1"/>
  <c r="V5" i="1"/>
  <c r="U17" i="1" l="1"/>
  <c r="V9" i="1"/>
  <c r="X6" i="1"/>
  <c r="W60" i="1"/>
  <c r="W102" i="1" s="1"/>
  <c r="W138" i="1" s="1"/>
  <c r="W5" i="1"/>
  <c r="V17" i="1" l="1"/>
  <c r="W9" i="1"/>
  <c r="Y6" i="1"/>
  <c r="X60" i="1"/>
  <c r="X102" i="1" s="1"/>
  <c r="X138" i="1" s="1"/>
  <c r="X5" i="1"/>
  <c r="W17" i="1" l="1"/>
  <c r="X9" i="1"/>
  <c r="Z6" i="1"/>
  <c r="Y60" i="1"/>
  <c r="Y102" i="1" s="1"/>
  <c r="Y138" i="1" s="1"/>
  <c r="Y5" i="1"/>
  <c r="AA6" i="1" l="1"/>
  <c r="Z60" i="1"/>
  <c r="Z102" i="1" s="1"/>
  <c r="Z138" i="1" s="1"/>
  <c r="Z5" i="1"/>
  <c r="X17" i="1"/>
  <c r="Y9" i="1"/>
  <c r="Z9" i="1" l="1"/>
  <c r="Y17" i="1"/>
  <c r="AB6" i="1"/>
  <c r="AC6" i="1" s="1"/>
  <c r="AC5" i="1" s="1"/>
  <c r="AA60" i="1"/>
  <c r="AA102" i="1" s="1"/>
  <c r="AA138" i="1" s="1"/>
  <c r="AA5" i="1"/>
  <c r="F30" i="1" l="1"/>
  <c r="F29" i="1"/>
  <c r="F31" i="1"/>
  <c r="AA9" i="1"/>
  <c r="AB60" i="1"/>
  <c r="AB5" i="1"/>
  <c r="Z17" i="1"/>
  <c r="AB102" i="1" l="1"/>
  <c r="AB138" i="1" s="1"/>
  <c r="AC60" i="1"/>
  <c r="AB9" i="1"/>
  <c r="G31" i="1"/>
  <c r="G30" i="1"/>
  <c r="AA17" i="1"/>
  <c r="AC9" i="1" l="1"/>
  <c r="AB17" i="1"/>
  <c r="AC17" i="1" l="1"/>
</calcChain>
</file>

<file path=xl/sharedStrings.xml><?xml version="1.0" encoding="utf-8"?>
<sst xmlns="http://schemas.openxmlformats.org/spreadsheetml/2006/main" count="93" uniqueCount="81">
  <si>
    <t>Custo acumulado</t>
  </si>
  <si>
    <t>% Mensal</t>
  </si>
  <si>
    <t>% Acumulada</t>
  </si>
  <si>
    <t>Peíodo</t>
  </si>
  <si>
    <t>Mês</t>
  </si>
  <si>
    <t>A1</t>
  </si>
  <si>
    <t>A2</t>
  </si>
  <si>
    <t>A3</t>
  </si>
  <si>
    <t>H</t>
  </si>
  <si>
    <t>Total</t>
  </si>
  <si>
    <t>B</t>
  </si>
  <si>
    <t>b</t>
  </si>
  <si>
    <t>X</t>
  </si>
  <si>
    <t>Y</t>
  </si>
  <si>
    <t>Prazo</t>
  </si>
  <si>
    <t>Prazo da Obra</t>
  </si>
  <si>
    <t>Custo</t>
  </si>
  <si>
    <t>Custo Total</t>
  </si>
  <si>
    <t>Tempo</t>
  </si>
  <si>
    <t>Avanço (baseado em custo)</t>
  </si>
  <si>
    <t>Nome do recurso</t>
  </si>
  <si>
    <t>carpinteiro</t>
  </si>
  <si>
    <t>ferreiro</t>
  </si>
  <si>
    <t>servente estrutura</t>
  </si>
  <si>
    <t>aux. ferreiro</t>
  </si>
  <si>
    <t>enc. carpinteiro</t>
  </si>
  <si>
    <t>pedreiro alv.</t>
  </si>
  <si>
    <t>servente alv.</t>
  </si>
  <si>
    <t>gesseiro</t>
  </si>
  <si>
    <t>aux. gesseiro</t>
  </si>
  <si>
    <t>aplicador de manta</t>
  </si>
  <si>
    <t>aux. aplicador</t>
  </si>
  <si>
    <t>pedreiro acab.</t>
  </si>
  <si>
    <t>servente acab.</t>
  </si>
  <si>
    <t>pedreiro fac.</t>
  </si>
  <si>
    <t>servente fac.</t>
  </si>
  <si>
    <t>montador esquadrias</t>
  </si>
  <si>
    <t>aux.Marceneiro</t>
  </si>
  <si>
    <t>marceneiro</t>
  </si>
  <si>
    <t>aux. eletricista</t>
  </si>
  <si>
    <t>eletricista</t>
  </si>
  <si>
    <t>pintor</t>
  </si>
  <si>
    <t>aux. Pintor</t>
  </si>
  <si>
    <t>aux. bombeiro</t>
  </si>
  <si>
    <t>bombeiro</t>
  </si>
  <si>
    <t>Diarista</t>
  </si>
  <si>
    <t>TOTAL</t>
  </si>
  <si>
    <t>Velocidade Média de Produção (VP)</t>
  </si>
  <si>
    <t>Início</t>
  </si>
  <si>
    <t>Término</t>
  </si>
  <si>
    <t>Fase I (Mobilização da Obra)</t>
  </si>
  <si>
    <t>Fase III (Desmobilização)</t>
  </si>
  <si>
    <t>Fase II (Fluxo de Produção)</t>
  </si>
  <si>
    <t>Custo Acum</t>
  </si>
  <si>
    <t>VP (médio)</t>
  </si>
  <si>
    <t>Fase da Obra</t>
  </si>
  <si>
    <t>Custo médio Geral</t>
  </si>
  <si>
    <t>Alocação Máxima Teórica</t>
  </si>
  <si>
    <t>Alocação Máxima Teórica (Heineck, 1989)</t>
  </si>
  <si>
    <t>Custo Mensal/ Alocação Máxima Teórica</t>
  </si>
  <si>
    <t>CURVA S DE CUSTOS PLANEJADOS (AGREGADA E DESAGREGADA)</t>
  </si>
  <si>
    <t>Parâmetros da Curva (Descobrir h do trapézio)</t>
  </si>
  <si>
    <t>Pontos Notáveis</t>
  </si>
  <si>
    <t>Dados do Gráfico</t>
  </si>
  <si>
    <t>Período</t>
  </si>
  <si>
    <t>Custos P</t>
  </si>
  <si>
    <t>Curva padrão de Casarotto (1996)</t>
  </si>
  <si>
    <r>
      <t xml:space="preserve">Curva de Trapézio Ideal (Adaptado de Shtub et al (1970) </t>
    </r>
    <r>
      <rPr>
        <b/>
        <i/>
        <sz val="20"/>
        <color theme="1"/>
        <rFont val="Calibri"/>
        <family val="2"/>
        <scheme val="minor"/>
      </rPr>
      <t>apud</t>
    </r>
    <r>
      <rPr>
        <b/>
        <sz val="20"/>
        <color theme="1"/>
        <rFont val="Calibri"/>
        <family val="2"/>
        <scheme val="minor"/>
      </rPr>
      <t xml:space="preserve"> Casarotto (1996)</t>
    </r>
  </si>
  <si>
    <t>Parâmetros da Curva</t>
  </si>
  <si>
    <t>CURVA DE AVANÇOS NÍMINOMS (Cooke, 1980 apud Heineck, 1989)</t>
  </si>
  <si>
    <t>Custo menal Planejado</t>
  </si>
  <si>
    <t>Avanços mínimos</t>
  </si>
  <si>
    <t>Alocação Máxima Dada</t>
  </si>
  <si>
    <t>aux. Carpinteiro</t>
  </si>
  <si>
    <t>enc. ferreiro</t>
  </si>
  <si>
    <t>mecânico</t>
  </si>
  <si>
    <t>servente geral</t>
  </si>
  <si>
    <t>pedreiro</t>
  </si>
  <si>
    <t>servente</t>
  </si>
  <si>
    <t>aux.pintor</t>
  </si>
  <si>
    <t>Custo Mensal/Alocação Máxima Dada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</si>
</sst>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5" formatCode="General\ &quot;meses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FE3E8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7" fontId="2" fillId="0" borderId="1" xfId="0" applyNumberFormat="1" applyFont="1" applyBorder="1" applyAlignment="1">
      <alignment horizontal="center"/>
    </xf>
    <xf numFmtId="8" fontId="0" fillId="0" borderId="1" xfId="0" applyNumberFormat="1" applyBorder="1"/>
    <xf numFmtId="10" fontId="0" fillId="0" borderId="1" xfId="2" applyNumberFormat="1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5" fillId="3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44" fontId="6" fillId="0" borderId="1" xfId="0" applyNumberFormat="1" applyFont="1" applyBorder="1" applyAlignment="1">
      <alignment horizontal="center" vertical="center"/>
    </xf>
    <xf numFmtId="9" fontId="6" fillId="0" borderId="1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3" xfId="0" applyBorder="1"/>
    <xf numFmtId="0" fontId="6" fillId="0" borderId="0" xfId="0" applyFont="1" applyAlignment="1">
      <alignment horizontal="center" vertical="center"/>
    </xf>
    <xf numFmtId="0" fontId="0" fillId="0" borderId="4" xfId="0" applyBorder="1"/>
    <xf numFmtId="0" fontId="2" fillId="0" borderId="0" xfId="0" applyFont="1" applyAlignment="1">
      <alignment horizontal="center" vertical="center"/>
    </xf>
    <xf numFmtId="165" fontId="0" fillId="0" borderId="0" xfId="0" applyNumberFormat="1"/>
    <xf numFmtId="44" fontId="0" fillId="0" borderId="0" xfId="1" applyFont="1" applyBorder="1"/>
    <xf numFmtId="10" fontId="0" fillId="0" borderId="0" xfId="2" applyNumberFormat="1" applyFont="1" applyBorder="1"/>
    <xf numFmtId="8" fontId="0" fillId="0" borderId="0" xfId="0" applyNumberFormat="1"/>
    <xf numFmtId="0" fontId="0" fillId="2" borderId="0" xfId="0" applyFill="1"/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9" fontId="0" fillId="0" borderId="0" xfId="2" applyFont="1" applyBorder="1"/>
    <xf numFmtId="44" fontId="0" fillId="0" borderId="0" xfId="0" applyNumberFormat="1"/>
    <xf numFmtId="9" fontId="0" fillId="0" borderId="0" xfId="0" applyNumberFormat="1"/>
    <xf numFmtId="10" fontId="0" fillId="0" borderId="0" xfId="0" applyNumberFormat="1"/>
    <xf numFmtId="0" fontId="7" fillId="0" borderId="3" xfId="0" applyFont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4" fontId="0" fillId="0" borderId="0" xfId="1" applyFont="1" applyBorder="1" applyAlignment="1">
      <alignment horizontal="center"/>
    </xf>
    <xf numFmtId="44" fontId="0" fillId="0" borderId="0" xfId="1" applyFont="1" applyBorder="1" applyAlignment="1"/>
    <xf numFmtId="10" fontId="0" fillId="0" borderId="0" xfId="2" applyNumberFormat="1" applyFont="1" applyBorder="1" applyAlignment="1"/>
    <xf numFmtId="0" fontId="0" fillId="0" borderId="0" xfId="0" applyFill="1" applyBorder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8" fontId="0" fillId="0" borderId="0" xfId="0" applyNumberFormat="1" applyBorder="1"/>
    <xf numFmtId="0" fontId="7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</cellXfs>
  <cellStyles count="3">
    <cellStyle name="Moeda" xfId="1" builtinId="4"/>
    <cellStyle name="Normal" xfId="0" builtinId="0"/>
    <cellStyle name="Porcentagem" xfId="2" builtinId="5"/>
  </cellStyles>
  <dxfs count="3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Curva de Custos Mensal (Agregado x Acumulado)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'CURVA S'!$B$8</c:f>
              <c:strCache>
                <c:ptCount val="1"/>
                <c:pt idx="0">
                  <c:v>Custo menal Planejado</c:v>
                </c:pt>
              </c:strCache>
            </c:strRef>
          </c:tx>
          <c:invertIfNegative val="0"/>
          <c:cat>
            <c:numRef>
              <c:f>'CURVA S'!$C$7:$AC$7</c:f>
              <c:numCache>
                <c:formatCode>mmm\-yy</c:formatCode>
                <c:ptCount val="27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  <c:pt idx="13">
                  <c:v>45505</c:v>
                </c:pt>
                <c:pt idx="14">
                  <c:v>45536</c:v>
                </c:pt>
                <c:pt idx="15">
                  <c:v>45566</c:v>
                </c:pt>
                <c:pt idx="16">
                  <c:v>45597</c:v>
                </c:pt>
                <c:pt idx="17">
                  <c:v>45627</c:v>
                </c:pt>
                <c:pt idx="18">
                  <c:v>45658</c:v>
                </c:pt>
                <c:pt idx="19">
                  <c:v>45689</c:v>
                </c:pt>
                <c:pt idx="20">
                  <c:v>45717</c:v>
                </c:pt>
                <c:pt idx="21">
                  <c:v>45748</c:v>
                </c:pt>
                <c:pt idx="22">
                  <c:v>45778</c:v>
                </c:pt>
                <c:pt idx="23">
                  <c:v>45809</c:v>
                </c:pt>
                <c:pt idx="24">
                  <c:v>45839</c:v>
                </c:pt>
                <c:pt idx="25">
                  <c:v>45870</c:v>
                </c:pt>
                <c:pt idx="26">
                  <c:v>45901</c:v>
                </c:pt>
              </c:numCache>
            </c:numRef>
          </c:cat>
          <c:val>
            <c:numRef>
              <c:f>'CURVA S'!$C$8:$AC$8</c:f>
              <c:numCache>
                <c:formatCode>"R$"#,##0.00_);[Red]\("R$"#,##0.00\)</c:formatCode>
                <c:ptCount val="27"/>
                <c:pt idx="0">
                  <c:v>4100.8500000000004</c:v>
                </c:pt>
                <c:pt idx="1">
                  <c:v>95004.95</c:v>
                </c:pt>
                <c:pt idx="2">
                  <c:v>108678.89</c:v>
                </c:pt>
                <c:pt idx="3">
                  <c:v>296291.37</c:v>
                </c:pt>
                <c:pt idx="4">
                  <c:v>448848.56</c:v>
                </c:pt>
                <c:pt idx="5">
                  <c:v>392930.44</c:v>
                </c:pt>
                <c:pt idx="6">
                  <c:v>495413.02</c:v>
                </c:pt>
                <c:pt idx="7">
                  <c:v>401137</c:v>
                </c:pt>
                <c:pt idx="8">
                  <c:v>459248.03</c:v>
                </c:pt>
                <c:pt idx="9">
                  <c:v>430722.84</c:v>
                </c:pt>
                <c:pt idx="10">
                  <c:v>267218.58</c:v>
                </c:pt>
                <c:pt idx="11">
                  <c:v>293080.61</c:v>
                </c:pt>
                <c:pt idx="12">
                  <c:v>549132.5</c:v>
                </c:pt>
                <c:pt idx="13">
                  <c:v>416425.13</c:v>
                </c:pt>
                <c:pt idx="14">
                  <c:v>513099.78</c:v>
                </c:pt>
                <c:pt idx="15">
                  <c:v>622205.05000000005</c:v>
                </c:pt>
                <c:pt idx="16">
                  <c:v>449938</c:v>
                </c:pt>
                <c:pt idx="17">
                  <c:v>379383.3</c:v>
                </c:pt>
                <c:pt idx="18">
                  <c:v>307641.18</c:v>
                </c:pt>
                <c:pt idx="19">
                  <c:v>382792.25</c:v>
                </c:pt>
                <c:pt idx="20">
                  <c:v>292141.81</c:v>
                </c:pt>
                <c:pt idx="21">
                  <c:v>377381.81</c:v>
                </c:pt>
                <c:pt idx="22">
                  <c:v>302783.59999999998</c:v>
                </c:pt>
                <c:pt idx="23">
                  <c:v>426539.85</c:v>
                </c:pt>
                <c:pt idx="24">
                  <c:v>286309.11</c:v>
                </c:pt>
                <c:pt idx="25">
                  <c:v>157628.88</c:v>
                </c:pt>
                <c:pt idx="26">
                  <c:v>17072.8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69-4FF8-9CC4-42DAEB138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234368"/>
        <c:axId val="98313344"/>
      </c:barChart>
      <c:lineChart>
        <c:grouping val="standard"/>
        <c:varyColors val="0"/>
        <c:ser>
          <c:idx val="2"/>
          <c:order val="2"/>
          <c:tx>
            <c:strRef>
              <c:f>'CURVA S'!$B$11</c:f>
              <c:strCache>
                <c:ptCount val="1"/>
                <c:pt idx="0">
                  <c:v>Alocação Máxima Teórica</c:v>
                </c:pt>
              </c:strCache>
            </c:strRef>
          </c:tx>
          <c:val>
            <c:numRef>
              <c:f>'CURVA S'!$C$11:$AC$11</c:f>
              <c:numCache>
                <c:formatCode>_("R$"* #,##0.00_);_("R$"* \(#,##0.00\);_("R$"* "-"??_);_(@_)</c:formatCode>
                <c:ptCount val="27"/>
                <c:pt idx="0">
                  <c:v>679492.60666666657</c:v>
                </c:pt>
                <c:pt idx="1">
                  <c:v>679492.60666666657</c:v>
                </c:pt>
                <c:pt idx="2">
                  <c:v>679492.60666666657</c:v>
                </c:pt>
                <c:pt idx="3">
                  <c:v>679492.60666666657</c:v>
                </c:pt>
                <c:pt idx="4">
                  <c:v>679492.60666666657</c:v>
                </c:pt>
                <c:pt idx="5">
                  <c:v>679492.60666666657</c:v>
                </c:pt>
                <c:pt idx="6">
                  <c:v>679492.60666666657</c:v>
                </c:pt>
                <c:pt idx="7">
                  <c:v>679492.60666666657</c:v>
                </c:pt>
                <c:pt idx="8">
                  <c:v>679492.60666666657</c:v>
                </c:pt>
                <c:pt idx="9">
                  <c:v>679492.60666666657</c:v>
                </c:pt>
                <c:pt idx="10">
                  <c:v>679492.60666666657</c:v>
                </c:pt>
                <c:pt idx="11">
                  <c:v>679492.60666666657</c:v>
                </c:pt>
                <c:pt idx="12">
                  <c:v>679492.60666666657</c:v>
                </c:pt>
                <c:pt idx="13">
                  <c:v>679492.60666666657</c:v>
                </c:pt>
                <c:pt idx="14">
                  <c:v>679492.60666666657</c:v>
                </c:pt>
                <c:pt idx="15">
                  <c:v>679492.60666666657</c:v>
                </c:pt>
                <c:pt idx="16">
                  <c:v>679492.60666666657</c:v>
                </c:pt>
                <c:pt idx="17">
                  <c:v>679492.60666666657</c:v>
                </c:pt>
                <c:pt idx="18">
                  <c:v>679492.60666666657</c:v>
                </c:pt>
                <c:pt idx="19">
                  <c:v>679492.60666666657</c:v>
                </c:pt>
                <c:pt idx="20">
                  <c:v>679492.60666666657</c:v>
                </c:pt>
                <c:pt idx="21">
                  <c:v>679492.60666666657</c:v>
                </c:pt>
                <c:pt idx="22">
                  <c:v>679492.60666666657</c:v>
                </c:pt>
                <c:pt idx="23">
                  <c:v>679492.60666666657</c:v>
                </c:pt>
                <c:pt idx="24">
                  <c:v>679492.60666666657</c:v>
                </c:pt>
                <c:pt idx="25">
                  <c:v>679492.60666666657</c:v>
                </c:pt>
                <c:pt idx="26">
                  <c:v>679492.60666666657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69-4FF8-9CC4-42DAEB138D9C}"/>
            </c:ext>
          </c:extLst>
        </c:ser>
        <c:ser>
          <c:idx val="3"/>
          <c:order val="3"/>
          <c:tx>
            <c:strRef>
              <c:f>'CURVA S'!$B$12</c:f>
              <c:strCache>
                <c:ptCount val="1"/>
                <c:pt idx="0">
                  <c:v>Alocação Máxima Dada</c:v>
                </c:pt>
              </c:strCache>
            </c:strRef>
          </c:tx>
          <c:val>
            <c:numRef>
              <c:f>'CURVA S'!$C$12:$AC$12</c:f>
              <c:numCache>
                <c:formatCode>_("R$"* #,##0.00_);_("R$"* \(#,##0.00\);_("R$"* "-"??_);_(@_)</c:formatCode>
                <c:ptCount val="27"/>
                <c:pt idx="0">
                  <c:v>779717.76615000004</c:v>
                </c:pt>
                <c:pt idx="1">
                  <c:v>779717.76615000004</c:v>
                </c:pt>
                <c:pt idx="2">
                  <c:v>779717.76615000004</c:v>
                </c:pt>
                <c:pt idx="3">
                  <c:v>779717.76615000004</c:v>
                </c:pt>
                <c:pt idx="4">
                  <c:v>779717.76615000004</c:v>
                </c:pt>
                <c:pt idx="5">
                  <c:v>779717.76615000004</c:v>
                </c:pt>
                <c:pt idx="6">
                  <c:v>779717.76615000004</c:v>
                </c:pt>
                <c:pt idx="7">
                  <c:v>779717.76615000004</c:v>
                </c:pt>
                <c:pt idx="8">
                  <c:v>779717.76615000004</c:v>
                </c:pt>
                <c:pt idx="9">
                  <c:v>779717.76615000004</c:v>
                </c:pt>
                <c:pt idx="10">
                  <c:v>779717.76615000004</c:v>
                </c:pt>
                <c:pt idx="11">
                  <c:v>779717.76615000004</c:v>
                </c:pt>
                <c:pt idx="12">
                  <c:v>779717.76615000004</c:v>
                </c:pt>
                <c:pt idx="13">
                  <c:v>779717.76615000004</c:v>
                </c:pt>
                <c:pt idx="14">
                  <c:v>779717.76615000004</c:v>
                </c:pt>
                <c:pt idx="15">
                  <c:v>779717.76615000004</c:v>
                </c:pt>
                <c:pt idx="16">
                  <c:v>779717.76615000004</c:v>
                </c:pt>
                <c:pt idx="17">
                  <c:v>779717.76615000004</c:v>
                </c:pt>
                <c:pt idx="18">
                  <c:v>779717.76615000004</c:v>
                </c:pt>
                <c:pt idx="19">
                  <c:v>779717.76615000004</c:v>
                </c:pt>
                <c:pt idx="20">
                  <c:v>779717.76615000004</c:v>
                </c:pt>
                <c:pt idx="21">
                  <c:v>779717.76615000004</c:v>
                </c:pt>
                <c:pt idx="22">
                  <c:v>779717.76615000004</c:v>
                </c:pt>
                <c:pt idx="23">
                  <c:v>779717.76615000004</c:v>
                </c:pt>
                <c:pt idx="24">
                  <c:v>779717.76615000004</c:v>
                </c:pt>
                <c:pt idx="25">
                  <c:v>779717.76615000004</c:v>
                </c:pt>
                <c:pt idx="26">
                  <c:v>779717.76615000004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F4-410E-8579-A7806BD1B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234368"/>
        <c:axId val="98313344"/>
      </c:lineChart>
      <c:lineChart>
        <c:grouping val="standard"/>
        <c:varyColors val="0"/>
        <c:ser>
          <c:idx val="1"/>
          <c:order val="1"/>
          <c:tx>
            <c:strRef>
              <c:f>'CURVA S'!$B$9</c:f>
              <c:strCache>
                <c:ptCount val="1"/>
                <c:pt idx="0">
                  <c:v>Custo acumulado</c:v>
                </c:pt>
              </c:strCache>
            </c:strRef>
          </c:tx>
          <c:cat>
            <c:numRef>
              <c:f>'CURVA S'!$C$7:$AC$7</c:f>
              <c:numCache>
                <c:formatCode>mmm\-yy</c:formatCode>
                <c:ptCount val="27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  <c:pt idx="13">
                  <c:v>45505</c:v>
                </c:pt>
                <c:pt idx="14">
                  <c:v>45536</c:v>
                </c:pt>
                <c:pt idx="15">
                  <c:v>45566</c:v>
                </c:pt>
                <c:pt idx="16">
                  <c:v>45597</c:v>
                </c:pt>
                <c:pt idx="17">
                  <c:v>45627</c:v>
                </c:pt>
                <c:pt idx="18">
                  <c:v>45658</c:v>
                </c:pt>
                <c:pt idx="19">
                  <c:v>45689</c:v>
                </c:pt>
                <c:pt idx="20">
                  <c:v>45717</c:v>
                </c:pt>
                <c:pt idx="21">
                  <c:v>45748</c:v>
                </c:pt>
                <c:pt idx="22">
                  <c:v>45778</c:v>
                </c:pt>
                <c:pt idx="23">
                  <c:v>45809</c:v>
                </c:pt>
                <c:pt idx="24">
                  <c:v>45839</c:v>
                </c:pt>
                <c:pt idx="25">
                  <c:v>45870</c:v>
                </c:pt>
                <c:pt idx="26">
                  <c:v>45901</c:v>
                </c:pt>
              </c:numCache>
            </c:numRef>
          </c:cat>
          <c:val>
            <c:numRef>
              <c:f>'CURVA S'!$C$9:$AC$9</c:f>
              <c:numCache>
                <c:formatCode>"R$"#,##0.00_);[Red]\("R$"#,##0.00\)</c:formatCode>
                <c:ptCount val="27"/>
                <c:pt idx="0">
                  <c:v>4100.8500000000004</c:v>
                </c:pt>
                <c:pt idx="1">
                  <c:v>99105.8</c:v>
                </c:pt>
                <c:pt idx="2">
                  <c:v>207784.69</c:v>
                </c:pt>
                <c:pt idx="3">
                  <c:v>504076.06</c:v>
                </c:pt>
                <c:pt idx="4">
                  <c:v>952924.62</c:v>
                </c:pt>
                <c:pt idx="5">
                  <c:v>1345855.06</c:v>
                </c:pt>
                <c:pt idx="6">
                  <c:v>1841268.08</c:v>
                </c:pt>
                <c:pt idx="7">
                  <c:v>2242405.08</c:v>
                </c:pt>
                <c:pt idx="8">
                  <c:v>2701653.1100000003</c:v>
                </c:pt>
                <c:pt idx="9">
                  <c:v>3132375.95</c:v>
                </c:pt>
                <c:pt idx="10">
                  <c:v>3399594.5300000003</c:v>
                </c:pt>
                <c:pt idx="11">
                  <c:v>3692675.14</c:v>
                </c:pt>
                <c:pt idx="12">
                  <c:v>4241807.6400000006</c:v>
                </c:pt>
                <c:pt idx="13">
                  <c:v>4658232.7700000005</c:v>
                </c:pt>
                <c:pt idx="14">
                  <c:v>5171332.5500000007</c:v>
                </c:pt>
                <c:pt idx="15">
                  <c:v>5793537.6000000006</c:v>
                </c:pt>
                <c:pt idx="16">
                  <c:v>6243475.6000000006</c:v>
                </c:pt>
                <c:pt idx="17">
                  <c:v>6622858.9000000004</c:v>
                </c:pt>
                <c:pt idx="18">
                  <c:v>6930500.0800000001</c:v>
                </c:pt>
                <c:pt idx="19">
                  <c:v>7313292.3300000001</c:v>
                </c:pt>
                <c:pt idx="20">
                  <c:v>7605434.1399999997</c:v>
                </c:pt>
                <c:pt idx="21">
                  <c:v>7982815.9499999993</c:v>
                </c:pt>
                <c:pt idx="22">
                  <c:v>8285599.5499999989</c:v>
                </c:pt>
                <c:pt idx="23">
                  <c:v>8712139.3999999985</c:v>
                </c:pt>
                <c:pt idx="24">
                  <c:v>8998448.5099999979</c:v>
                </c:pt>
                <c:pt idx="25">
                  <c:v>9156077.3899999987</c:v>
                </c:pt>
                <c:pt idx="26">
                  <c:v>9173150.1899999995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69-4FF8-9CC4-42DAEB138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235392"/>
        <c:axId val="98313920"/>
      </c:lineChart>
      <c:dateAx>
        <c:axId val="1062343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98313344"/>
        <c:crosses val="autoZero"/>
        <c:auto val="1"/>
        <c:lblOffset val="100"/>
        <c:baseTimeUnit val="months"/>
      </c:dateAx>
      <c:valAx>
        <c:axId val="983133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Cuso Mensal (em R$)</a:t>
                </a:r>
              </a:p>
            </c:rich>
          </c:tx>
          <c:overlay val="0"/>
        </c:title>
        <c:numFmt formatCode="&quot;R$&quot;#,##0.00_);[Red]\(&quot;R$&quot;#,##0.00\)" sourceLinked="1"/>
        <c:majorTickMark val="out"/>
        <c:minorTickMark val="none"/>
        <c:tickLblPos val="nextTo"/>
        <c:crossAx val="106234368"/>
        <c:crosses val="autoZero"/>
        <c:crossBetween val="between"/>
      </c:valAx>
      <c:valAx>
        <c:axId val="9831392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Custo Acumulado (em R$)</a:t>
                </a:r>
              </a:p>
            </c:rich>
          </c:tx>
          <c:overlay val="0"/>
        </c:title>
        <c:numFmt formatCode="&quot;R$&quot;#,##0.00_);[Red]\(&quot;R$&quot;#,##0.00\)" sourceLinked="1"/>
        <c:majorTickMark val="out"/>
        <c:minorTickMark val="none"/>
        <c:tickLblPos val="nextTo"/>
        <c:crossAx val="106235392"/>
        <c:crosses val="max"/>
        <c:crossBetween val="between"/>
      </c:valAx>
      <c:dateAx>
        <c:axId val="10623539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98313920"/>
        <c:crosses val="autoZero"/>
        <c:auto val="1"/>
        <c:lblOffset val="100"/>
        <c:baseTimeUnit val="months"/>
      </c:date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14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Custo Mensal Desagregado x Curva Trapézio Ideal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'CURVA S'!$B$8</c:f>
              <c:strCache>
                <c:ptCount val="1"/>
                <c:pt idx="0">
                  <c:v>Custo menal Planejado</c:v>
                </c:pt>
              </c:strCache>
            </c:strRef>
          </c:tx>
          <c:xVal>
            <c:numRef>
              <c:f>'CURVA S'!$B$60:$AC$60</c:f>
              <c:numCache>
                <c:formatCode>General</c:formatCode>
                <c:ptCount val="2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</c:numCache>
            </c:numRef>
          </c:xVal>
          <c:yVal>
            <c:numRef>
              <c:f>'CURVA S'!$B$61:$AC$61</c:f>
              <c:numCache>
                <c:formatCode>"R$"#,##0.00_);[Red]\("R$"#,##0.00\)</c:formatCode>
                <c:ptCount val="28"/>
                <c:pt idx="0" formatCode="_(&quot;R$&quot;* #,##0.00_);_(&quot;R$&quot;* \(#,##0.00\);_(&quot;R$&quot;* &quot;-&quot;??_);_(@_)">
                  <c:v>0</c:v>
                </c:pt>
                <c:pt idx="1">
                  <c:v>4100.8500000000004</c:v>
                </c:pt>
                <c:pt idx="2">
                  <c:v>95004.95</c:v>
                </c:pt>
                <c:pt idx="3">
                  <c:v>108678.89</c:v>
                </c:pt>
                <c:pt idx="4">
                  <c:v>296291.37</c:v>
                </c:pt>
                <c:pt idx="5">
                  <c:v>448848.56</c:v>
                </c:pt>
                <c:pt idx="6">
                  <c:v>392930.44</c:v>
                </c:pt>
                <c:pt idx="7">
                  <c:v>495413.02</c:v>
                </c:pt>
                <c:pt idx="8">
                  <c:v>401137</c:v>
                </c:pt>
                <c:pt idx="9">
                  <c:v>459248.03</c:v>
                </c:pt>
                <c:pt idx="10">
                  <c:v>430722.84</c:v>
                </c:pt>
                <c:pt idx="11">
                  <c:v>267218.58</c:v>
                </c:pt>
                <c:pt idx="12">
                  <c:v>293080.61</c:v>
                </c:pt>
                <c:pt idx="13">
                  <c:v>549132.5</c:v>
                </c:pt>
                <c:pt idx="14">
                  <c:v>416425.13</c:v>
                </c:pt>
                <c:pt idx="15">
                  <c:v>513099.78</c:v>
                </c:pt>
                <c:pt idx="16">
                  <c:v>622205.05000000005</c:v>
                </c:pt>
                <c:pt idx="17">
                  <c:v>449938</c:v>
                </c:pt>
                <c:pt idx="18">
                  <c:v>379383.3</c:v>
                </c:pt>
                <c:pt idx="19">
                  <c:v>307641.18</c:v>
                </c:pt>
                <c:pt idx="20">
                  <c:v>382792.25</c:v>
                </c:pt>
                <c:pt idx="21">
                  <c:v>292141.81</c:v>
                </c:pt>
                <c:pt idx="22">
                  <c:v>377381.81</c:v>
                </c:pt>
                <c:pt idx="23">
                  <c:v>302783.59999999998</c:v>
                </c:pt>
                <c:pt idx="24">
                  <c:v>426539.85</c:v>
                </c:pt>
                <c:pt idx="25">
                  <c:v>286309.11</c:v>
                </c:pt>
                <c:pt idx="26">
                  <c:v>157628.88</c:v>
                </c:pt>
                <c:pt idx="27" formatCode="General">
                  <c:v>17072.8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26-44B1-815A-542269DA9133}"/>
            </c:ext>
          </c:extLst>
        </c:ser>
        <c:ser>
          <c:idx val="1"/>
          <c:order val="1"/>
          <c:tx>
            <c:strRef>
              <c:f>'CURVA S'!$A$49</c:f>
              <c:strCache>
                <c:ptCount val="1"/>
                <c:pt idx="0">
                  <c:v>Curva de Trapézio Ideal (Adaptado de Shtub et al (1970) apud Casarotto (1996)</c:v>
                </c:pt>
              </c:strCache>
            </c:strRef>
          </c:tx>
          <c:xVal>
            <c:numRef>
              <c:f>'CURVA S'!$I$55:$I$58</c:f>
              <c:numCache>
                <c:formatCode>General</c:formatCode>
                <c:ptCount val="4"/>
                <c:pt idx="0">
                  <c:v>0</c:v>
                </c:pt>
                <c:pt idx="1">
                  <c:v>8.1</c:v>
                </c:pt>
                <c:pt idx="2">
                  <c:v>21.6</c:v>
                </c:pt>
                <c:pt idx="3">
                  <c:v>27</c:v>
                </c:pt>
              </c:numCache>
            </c:numRef>
          </c:xVal>
          <c:yVal>
            <c:numRef>
              <c:f>'CURVA S'!$J$55:$J$58</c:f>
              <c:numCache>
                <c:formatCode>"R$"#,##0.00_);[Red]\("R$"#,##0.00\)</c:formatCode>
                <c:ptCount val="4"/>
                <c:pt idx="0" formatCode="General">
                  <c:v>0</c:v>
                </c:pt>
                <c:pt idx="1">
                  <c:v>452995.07111111109</c:v>
                </c:pt>
                <c:pt idx="2">
                  <c:v>452995.07111111109</c:v>
                </c:pt>
                <c:pt idx="3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26-44B1-815A-542269DA9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316224"/>
        <c:axId val="98316800"/>
      </c:scatterChart>
      <c:valAx>
        <c:axId val="9831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8316800"/>
        <c:crosses val="autoZero"/>
        <c:crossBetween val="midCat"/>
      </c:valAx>
      <c:valAx>
        <c:axId val="983168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Custo Mensal</a:t>
                </a:r>
              </a:p>
            </c:rich>
          </c:tx>
          <c:overlay val="0"/>
        </c:title>
        <c:numFmt formatCode="_(&quot;R$&quot;* #,##0.00_);_(&quot;R$&quot;* \(#,##0.00\);_(&quot;R$&quot;* &quot;-&quot;??_);_(@_)" sourceLinked="1"/>
        <c:majorTickMark val="out"/>
        <c:minorTickMark val="none"/>
        <c:tickLblPos val="nextTo"/>
        <c:crossAx val="98316224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18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Custo Mensal Desagregado x Curva Padrão de Casarotto (1996)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'CURVA S'!$B$8</c:f>
              <c:strCache>
                <c:ptCount val="1"/>
                <c:pt idx="0">
                  <c:v>Custo menal Planejado</c:v>
                </c:pt>
              </c:strCache>
            </c:strRef>
          </c:tx>
          <c:xVal>
            <c:numRef>
              <c:f>'CURVA S'!$B$102:$AC$102</c:f>
              <c:numCache>
                <c:formatCode>General</c:formatCode>
                <c:ptCount val="2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</c:numCache>
            </c:numRef>
          </c:xVal>
          <c:yVal>
            <c:numRef>
              <c:f>'CURVA S'!$B$103:$AC$103</c:f>
              <c:numCache>
                <c:formatCode>_("R$"* #,##0.00_);_("R$"* \(#,##0.00\);_("R$"* "-"??_);_(@_)</c:formatCode>
                <c:ptCount val="28"/>
                <c:pt idx="0">
                  <c:v>0</c:v>
                </c:pt>
                <c:pt idx="1">
                  <c:v>4100.8500000000004</c:v>
                </c:pt>
                <c:pt idx="2">
                  <c:v>95004.95</c:v>
                </c:pt>
                <c:pt idx="3">
                  <c:v>108678.89</c:v>
                </c:pt>
                <c:pt idx="4">
                  <c:v>296291.37</c:v>
                </c:pt>
                <c:pt idx="5">
                  <c:v>448848.56</c:v>
                </c:pt>
                <c:pt idx="6">
                  <c:v>392930.44</c:v>
                </c:pt>
                <c:pt idx="7">
                  <c:v>495413.02</c:v>
                </c:pt>
                <c:pt idx="8">
                  <c:v>401137</c:v>
                </c:pt>
                <c:pt idx="9">
                  <c:v>459248.03</c:v>
                </c:pt>
                <c:pt idx="10">
                  <c:v>430722.84</c:v>
                </c:pt>
                <c:pt idx="11">
                  <c:v>267218.58</c:v>
                </c:pt>
                <c:pt idx="12">
                  <c:v>293080.61</c:v>
                </c:pt>
                <c:pt idx="13">
                  <c:v>549132.5</c:v>
                </c:pt>
                <c:pt idx="14">
                  <c:v>416425.13</c:v>
                </c:pt>
                <c:pt idx="15">
                  <c:v>513099.78</c:v>
                </c:pt>
                <c:pt idx="16">
                  <c:v>622205.05000000005</c:v>
                </c:pt>
                <c:pt idx="17">
                  <c:v>449938</c:v>
                </c:pt>
                <c:pt idx="18">
                  <c:v>379383.3</c:v>
                </c:pt>
                <c:pt idx="19">
                  <c:v>307641.18</c:v>
                </c:pt>
                <c:pt idx="20">
                  <c:v>382792.25</c:v>
                </c:pt>
                <c:pt idx="21">
                  <c:v>292141.81</c:v>
                </c:pt>
                <c:pt idx="22">
                  <c:v>377381.81</c:v>
                </c:pt>
                <c:pt idx="23">
                  <c:v>302783.59999999998</c:v>
                </c:pt>
                <c:pt idx="24">
                  <c:v>426539.85</c:v>
                </c:pt>
                <c:pt idx="25">
                  <c:v>286309.11</c:v>
                </c:pt>
                <c:pt idx="26">
                  <c:v>157628.88</c:v>
                </c:pt>
                <c:pt idx="27" formatCode="General">
                  <c:v>17072.8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91-4891-921D-DBBB7A96652E}"/>
            </c:ext>
          </c:extLst>
        </c:ser>
        <c:ser>
          <c:idx val="1"/>
          <c:order val="1"/>
          <c:tx>
            <c:strRef>
              <c:f>'CURVA S'!$B$95</c:f>
              <c:strCache>
                <c:ptCount val="1"/>
                <c:pt idx="0">
                  <c:v>Parâmetros da Curva</c:v>
                </c:pt>
              </c:strCache>
            </c:strRef>
          </c:tx>
          <c:xVal>
            <c:numRef>
              <c:f>'CURVA S'!$G$97:$G$100</c:f>
              <c:numCache>
                <c:formatCode>General</c:formatCode>
                <c:ptCount val="4"/>
                <c:pt idx="0">
                  <c:v>0</c:v>
                </c:pt>
                <c:pt idx="1">
                  <c:v>4</c:v>
                </c:pt>
                <c:pt idx="2">
                  <c:v>22</c:v>
                </c:pt>
                <c:pt idx="3">
                  <c:v>27</c:v>
                </c:pt>
              </c:numCache>
            </c:numRef>
          </c:xVal>
          <c:yVal>
            <c:numRef>
              <c:f>'CURVA S'!$H$97:$H$100</c:f>
              <c:numCache>
                <c:formatCode>_("R$"* #,##0.00_);_("R$"* \(#,##0.00\);_("R$"* "-"??_);_(@_)</c:formatCode>
                <c:ptCount val="4"/>
                <c:pt idx="0">
                  <c:v>0</c:v>
                </c:pt>
                <c:pt idx="1">
                  <c:v>477003.80987999996</c:v>
                </c:pt>
                <c:pt idx="2">
                  <c:v>632947.36311000003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91-4891-921D-DBBB7A966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319104"/>
        <c:axId val="98319680"/>
      </c:scatterChart>
      <c:valAx>
        <c:axId val="9831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8319680"/>
        <c:crosses val="autoZero"/>
        <c:crossBetween val="midCat"/>
      </c:valAx>
      <c:valAx>
        <c:axId val="983196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Custo Mensal</a:t>
                </a:r>
              </a:p>
            </c:rich>
          </c:tx>
          <c:overlay val="0"/>
        </c:title>
        <c:numFmt formatCode="_(&quot;R$&quot;* #,##0.00_);_(&quot;R$&quot;* \(#,##0.00\);_(&quot;R$&quot;* &quot;-&quot;??_);_(@_)" sourceLinked="1"/>
        <c:majorTickMark val="out"/>
        <c:minorTickMark val="none"/>
        <c:tickLblPos val="nextTo"/>
        <c:crossAx val="98319104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18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Obra Planejada x Avaços Mínimos Obras</a:t>
            </a:r>
            <a:r>
              <a:rPr lang="pt-BR" baseline="0"/>
              <a:t> Marquise </a:t>
            </a:r>
            <a:endParaRPr lang="pt-BR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'CURVA S'!$B$9</c:f>
              <c:strCache>
                <c:ptCount val="1"/>
                <c:pt idx="0">
                  <c:v>Custo acumulado</c:v>
                </c:pt>
              </c:strCache>
            </c:strRef>
          </c:tx>
          <c:xVal>
            <c:numRef>
              <c:f>'CURVA S'!$B$138:$AC$138</c:f>
              <c:numCache>
                <c:formatCode>General</c:formatCode>
                <c:ptCount val="2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</c:numCache>
            </c:numRef>
          </c:xVal>
          <c:yVal>
            <c:numRef>
              <c:f>'CURVA S'!$B$139:$AC$139</c:f>
              <c:numCache>
                <c:formatCode>"R$"#,##0.00_);[Red]\("R$"#,##0.00\)</c:formatCode>
                <c:ptCount val="28"/>
                <c:pt idx="0">
                  <c:v>0</c:v>
                </c:pt>
                <c:pt idx="1">
                  <c:v>4100.8500000000004</c:v>
                </c:pt>
                <c:pt idx="2">
                  <c:v>99105.8</c:v>
                </c:pt>
                <c:pt idx="3">
                  <c:v>207784.69</c:v>
                </c:pt>
                <c:pt idx="4">
                  <c:v>504076.06</c:v>
                </c:pt>
                <c:pt idx="5">
                  <c:v>952924.62</c:v>
                </c:pt>
                <c:pt idx="6">
                  <c:v>1345855.06</c:v>
                </c:pt>
                <c:pt idx="7">
                  <c:v>1841268.08</c:v>
                </c:pt>
                <c:pt idx="8">
                  <c:v>2242405.08</c:v>
                </c:pt>
                <c:pt idx="9">
                  <c:v>2701653.1100000003</c:v>
                </c:pt>
                <c:pt idx="10">
                  <c:v>3132375.95</c:v>
                </c:pt>
                <c:pt idx="11">
                  <c:v>3399594.5300000003</c:v>
                </c:pt>
                <c:pt idx="12">
                  <c:v>3692675.14</c:v>
                </c:pt>
                <c:pt idx="13">
                  <c:v>4241807.6400000006</c:v>
                </c:pt>
                <c:pt idx="14">
                  <c:v>4658232.7700000005</c:v>
                </c:pt>
                <c:pt idx="15">
                  <c:v>5171332.5500000007</c:v>
                </c:pt>
                <c:pt idx="16">
                  <c:v>5793537.6000000006</c:v>
                </c:pt>
                <c:pt idx="17">
                  <c:v>6243475.6000000006</c:v>
                </c:pt>
                <c:pt idx="18">
                  <c:v>6622858.9000000004</c:v>
                </c:pt>
                <c:pt idx="19">
                  <c:v>6930500.0800000001</c:v>
                </c:pt>
                <c:pt idx="20">
                  <c:v>7313292.3300000001</c:v>
                </c:pt>
                <c:pt idx="21">
                  <c:v>7605434.1399999997</c:v>
                </c:pt>
                <c:pt idx="22">
                  <c:v>7982815.9499999993</c:v>
                </c:pt>
                <c:pt idx="23">
                  <c:v>8285599.5499999989</c:v>
                </c:pt>
                <c:pt idx="24">
                  <c:v>8712139.3999999985</c:v>
                </c:pt>
                <c:pt idx="25">
                  <c:v>8998448.5099999979</c:v>
                </c:pt>
                <c:pt idx="26">
                  <c:v>9156077.3899999987</c:v>
                </c:pt>
                <c:pt idx="27" formatCode="General">
                  <c:v>9173150.1899999995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9A-4447-9461-9AA382D3BD37}"/>
            </c:ext>
          </c:extLst>
        </c:ser>
        <c:ser>
          <c:idx val="1"/>
          <c:order val="1"/>
          <c:tx>
            <c:strRef>
              <c:f>'CURVA S'!$B$136</c:f>
              <c:strCache>
                <c:ptCount val="1"/>
                <c:pt idx="0">
                  <c:v>Avanços mínimos</c:v>
                </c:pt>
              </c:strCache>
            </c:strRef>
          </c:tx>
          <c:xVal>
            <c:numRef>
              <c:f>'CURVA S'!$H$142:$H$148</c:f>
              <c:numCache>
                <c:formatCode>General</c:formatCode>
                <c:ptCount val="7"/>
                <c:pt idx="0">
                  <c:v>0</c:v>
                </c:pt>
                <c:pt idx="1">
                  <c:v>4</c:v>
                </c:pt>
                <c:pt idx="2">
                  <c:v>11</c:v>
                </c:pt>
                <c:pt idx="3">
                  <c:v>16</c:v>
                </c:pt>
                <c:pt idx="4">
                  <c:v>22</c:v>
                </c:pt>
                <c:pt idx="5">
                  <c:v>26</c:v>
                </c:pt>
                <c:pt idx="6">
                  <c:v>27</c:v>
                </c:pt>
              </c:numCache>
            </c:numRef>
          </c:xVal>
          <c:yVal>
            <c:numRef>
              <c:f>'CURVA S'!$I$142:$I$148</c:f>
              <c:numCache>
                <c:formatCode>_("R$"* #,##0.00_);_("R$"* \(#,##0.00\);_("R$"* "-"??_);_(@_)</c:formatCode>
                <c:ptCount val="7"/>
                <c:pt idx="0" formatCode="General">
                  <c:v>0</c:v>
                </c:pt>
                <c:pt idx="1">
                  <c:v>917315.01899999997</c:v>
                </c:pt>
                <c:pt idx="2">
                  <c:v>2293287.5474999999</c:v>
                </c:pt>
                <c:pt idx="3">
                  <c:v>4586575.0949999997</c:v>
                </c:pt>
                <c:pt idx="4">
                  <c:v>6879862.6425000001</c:v>
                </c:pt>
                <c:pt idx="5">
                  <c:v>8806224.1823999994</c:v>
                </c:pt>
                <c:pt idx="6">
                  <c:v>9173150.1899999995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9A-4447-9461-9AA382D3B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466112"/>
        <c:axId val="104466688"/>
      </c:scatterChart>
      <c:valAx>
        <c:axId val="104466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Prazo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4466688"/>
        <c:crosses val="autoZero"/>
        <c:crossBetween val="midCat"/>
      </c:valAx>
      <c:valAx>
        <c:axId val="1044666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Custo Acumulado</a:t>
                </a:r>
              </a:p>
            </c:rich>
          </c:tx>
          <c:overlay val="0"/>
        </c:title>
        <c:numFmt formatCode="&quot;R$&quot;#,##0.00_);[Red]\(&quot;R$&quot;#,##0.00\)" sourceLinked="1"/>
        <c:majorTickMark val="out"/>
        <c:minorTickMark val="none"/>
        <c:tickLblPos val="nextTo"/>
        <c:crossAx val="104466112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18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HISTOGRAMA DE MÃO-DE-OBRA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HISTOGRAMA!$B$66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HISTOGRAMA!$C$66:$AC$66</c:f>
              <c:numCache>
                <c:formatCode>General</c:formatCode>
                <c:ptCount val="27"/>
                <c:pt idx="0">
                  <c:v>2</c:v>
                </c:pt>
                <c:pt idx="1">
                  <c:v>2</c:v>
                </c:pt>
                <c:pt idx="2">
                  <c:v>18</c:v>
                </c:pt>
                <c:pt idx="3">
                  <c:v>38</c:v>
                </c:pt>
                <c:pt idx="4">
                  <c:v>58</c:v>
                </c:pt>
                <c:pt idx="5">
                  <c:v>66</c:v>
                </c:pt>
                <c:pt idx="6">
                  <c:v>66</c:v>
                </c:pt>
                <c:pt idx="7">
                  <c:v>52</c:v>
                </c:pt>
                <c:pt idx="8">
                  <c:v>56</c:v>
                </c:pt>
                <c:pt idx="9">
                  <c:v>58</c:v>
                </c:pt>
                <c:pt idx="10">
                  <c:v>48</c:v>
                </c:pt>
                <c:pt idx="11">
                  <c:v>45</c:v>
                </c:pt>
                <c:pt idx="12">
                  <c:v>52</c:v>
                </c:pt>
                <c:pt idx="13">
                  <c:v>52</c:v>
                </c:pt>
                <c:pt idx="14">
                  <c:v>26</c:v>
                </c:pt>
                <c:pt idx="15">
                  <c:v>29</c:v>
                </c:pt>
                <c:pt idx="16">
                  <c:v>22</c:v>
                </c:pt>
                <c:pt idx="17">
                  <c:v>28</c:v>
                </c:pt>
                <c:pt idx="18">
                  <c:v>25</c:v>
                </c:pt>
                <c:pt idx="19">
                  <c:v>31</c:v>
                </c:pt>
                <c:pt idx="20">
                  <c:v>31</c:v>
                </c:pt>
                <c:pt idx="21">
                  <c:v>29</c:v>
                </c:pt>
                <c:pt idx="22">
                  <c:v>33</c:v>
                </c:pt>
                <c:pt idx="23">
                  <c:v>25</c:v>
                </c:pt>
                <c:pt idx="24">
                  <c:v>25</c:v>
                </c:pt>
                <c:pt idx="25">
                  <c:v>24</c:v>
                </c:pt>
                <c:pt idx="2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F1-458E-9275-4645D7EF6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60"/>
        <c:axId val="106237440"/>
        <c:axId val="104468992"/>
      </c:barChart>
      <c:catAx>
        <c:axId val="106237440"/>
        <c:scaling>
          <c:orientation val="minMax"/>
        </c:scaling>
        <c:delete val="0"/>
        <c:axPos val="b"/>
        <c:majorTickMark val="out"/>
        <c:minorTickMark val="none"/>
        <c:tickLblPos val="nextTo"/>
        <c:crossAx val="104468992"/>
        <c:crosses val="autoZero"/>
        <c:auto val="1"/>
        <c:lblAlgn val="ctr"/>
        <c:lblOffset val="100"/>
        <c:noMultiLvlLbl val="0"/>
      </c:catAx>
      <c:valAx>
        <c:axId val="104468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23744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8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101746</xdr:colOff>
      <xdr:row>19</xdr:row>
      <xdr:rowOff>113308</xdr:rowOff>
    </xdr:from>
    <xdr:to>
      <xdr:col>18</xdr:col>
      <xdr:colOff>1000125</xdr:colOff>
      <xdr:row>44</xdr:row>
      <xdr:rowOff>119061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100446</xdr:colOff>
      <xdr:row>61</xdr:row>
      <xdr:rowOff>165821</xdr:rowOff>
    </xdr:from>
    <xdr:to>
      <xdr:col>21</xdr:col>
      <xdr:colOff>238991</xdr:colOff>
      <xdr:row>88</xdr:row>
      <xdr:rowOff>173181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207817</xdr:colOff>
      <xdr:row>103</xdr:row>
      <xdr:rowOff>96548</xdr:rowOff>
    </xdr:from>
    <xdr:to>
      <xdr:col>21</xdr:col>
      <xdr:colOff>381000</xdr:colOff>
      <xdr:row>129</xdr:row>
      <xdr:rowOff>34635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225137</xdr:colOff>
      <xdr:row>148</xdr:row>
      <xdr:rowOff>138546</xdr:rowOff>
    </xdr:from>
    <xdr:to>
      <xdr:col>18</xdr:col>
      <xdr:colOff>692727</xdr:colOff>
      <xdr:row>176</xdr:row>
      <xdr:rowOff>103196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605117</xdr:colOff>
      <xdr:row>7</xdr:row>
      <xdr:rowOff>128585</xdr:rowOff>
    </xdr:from>
    <xdr:to>
      <xdr:col>28</xdr:col>
      <xdr:colOff>571500</xdr:colOff>
      <xdr:row>28</xdr:row>
      <xdr:rowOff>105454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0"/>
  <sheetViews>
    <sheetView topLeftCell="A141" zoomScale="70" zoomScaleNormal="70" workbookViewId="0">
      <selection activeCell="E121" sqref="E121"/>
    </sheetView>
  </sheetViews>
  <sheetFormatPr defaultRowHeight="14.4" x14ac:dyDescent="0.3"/>
  <cols>
    <col min="2" max="2" width="24" customWidth="1"/>
    <col min="3" max="3" width="18.33203125" bestFit="1" customWidth="1"/>
    <col min="4" max="4" width="12.6640625" bestFit="1" customWidth="1"/>
    <col min="5" max="5" width="16.6640625" customWidth="1"/>
    <col min="6" max="6" width="19.5546875" bestFit="1" customWidth="1"/>
    <col min="7" max="7" width="17.6640625" bestFit="1" customWidth="1"/>
    <col min="8" max="9" width="14.44140625" bestFit="1" customWidth="1"/>
    <col min="10" max="10" width="17.6640625" bestFit="1" customWidth="1"/>
    <col min="11" max="17" width="14.44140625" bestFit="1" customWidth="1"/>
    <col min="18" max="19" width="17.109375" bestFit="1" customWidth="1"/>
    <col min="20" max="21" width="17.44140625" bestFit="1" customWidth="1"/>
    <col min="22" max="22" width="17.109375" bestFit="1" customWidth="1"/>
    <col min="23" max="23" width="17.44140625" bestFit="1" customWidth="1"/>
    <col min="24" max="24" width="16.6640625" bestFit="1" customWidth="1"/>
    <col min="25" max="25" width="17.109375" bestFit="1" customWidth="1"/>
    <col min="26" max="26" width="17.44140625" bestFit="1" customWidth="1"/>
    <col min="27" max="27" width="16.33203125" bestFit="1" customWidth="1"/>
    <col min="28" max="28" width="17.109375" bestFit="1" customWidth="1"/>
    <col min="29" max="29" width="15.33203125" style="40" bestFit="1" customWidth="1"/>
  </cols>
  <sheetData>
    <row r="1" spans="1:29" ht="15" customHeight="1" x14ac:dyDescent="0.3">
      <c r="A1" s="28" t="s">
        <v>60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</row>
    <row r="2" spans="1:29" ht="15" customHeight="1" x14ac:dyDescent="0.3">
      <c r="A2" s="28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</row>
    <row r="3" spans="1:29" ht="15.75" customHeight="1" x14ac:dyDescent="0.3">
      <c r="A3" s="28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</row>
    <row r="4" spans="1:29" x14ac:dyDescent="0.3">
      <c r="A4" s="13"/>
      <c r="R4" s="15"/>
      <c r="AB4" s="40"/>
    </row>
    <row r="5" spans="1:29" ht="24.75" customHeight="1" x14ac:dyDescent="0.3">
      <c r="A5" s="13"/>
      <c r="C5" s="14" t="str">
        <f t="shared" ref="C5:AC5" si="0">IF(C$6&lt;=$E$29,"Fase I",IF(AND(C$6&gt;$D$30,C$6&lt;=$E$30),"Fase II",IF(AND(C$6&gt;$D$31,C$6&lt;=$E$31),"Fase III","Erro")))</f>
        <v>Fase I</v>
      </c>
      <c r="D5" s="14" t="str">
        <f t="shared" si="0"/>
        <v>Fase I</v>
      </c>
      <c r="E5" s="14" t="str">
        <f t="shared" si="0"/>
        <v>Fase I</v>
      </c>
      <c r="F5" s="14" t="str">
        <f t="shared" si="0"/>
        <v>Fase I</v>
      </c>
      <c r="G5" s="14" t="str">
        <f t="shared" si="0"/>
        <v>Fase I</v>
      </c>
      <c r="H5" s="14" t="str">
        <f t="shared" si="0"/>
        <v>Fase I</v>
      </c>
      <c r="I5" s="14" t="str">
        <f t="shared" si="0"/>
        <v>Fase I</v>
      </c>
      <c r="J5" s="14" t="str">
        <f t="shared" si="0"/>
        <v>Fase I</v>
      </c>
      <c r="K5" s="14" t="str">
        <f t="shared" si="0"/>
        <v>Fase II</v>
      </c>
      <c r="L5" s="14" t="str">
        <f t="shared" si="0"/>
        <v>Fase II</v>
      </c>
      <c r="M5" s="14" t="str">
        <f t="shared" si="0"/>
        <v>Fase II</v>
      </c>
      <c r="N5" s="14" t="str">
        <f t="shared" si="0"/>
        <v>Fase II</v>
      </c>
      <c r="O5" s="14" t="str">
        <f t="shared" si="0"/>
        <v>Fase II</v>
      </c>
      <c r="P5" s="14" t="str">
        <f t="shared" si="0"/>
        <v>Fase II</v>
      </c>
      <c r="Q5" s="14" t="str">
        <f t="shared" si="0"/>
        <v>Fase II</v>
      </c>
      <c r="R5" s="14" t="str">
        <f t="shared" si="0"/>
        <v>Fase II</v>
      </c>
      <c r="S5" s="14" t="str">
        <f t="shared" si="0"/>
        <v>Fase II</v>
      </c>
      <c r="T5" s="14" t="str">
        <f t="shared" si="0"/>
        <v>Fase II</v>
      </c>
      <c r="U5" s="14" t="str">
        <f t="shared" si="0"/>
        <v>Fase II</v>
      </c>
      <c r="V5" s="14" t="str">
        <f t="shared" si="0"/>
        <v>Fase II</v>
      </c>
      <c r="W5" s="14" t="str">
        <f t="shared" si="0"/>
        <v>Fase II</v>
      </c>
      <c r="X5" s="14" t="str">
        <f t="shared" si="0"/>
        <v>Fase II</v>
      </c>
      <c r="Y5" s="14" t="str">
        <f t="shared" si="0"/>
        <v>Fase III</v>
      </c>
      <c r="Z5" s="14" t="str">
        <f t="shared" si="0"/>
        <v>Fase III</v>
      </c>
      <c r="AA5" s="14" t="str">
        <f t="shared" si="0"/>
        <v>Fase III</v>
      </c>
      <c r="AB5" s="41" t="str">
        <f t="shared" si="0"/>
        <v>Fase III</v>
      </c>
      <c r="AC5" s="41" t="str">
        <f t="shared" si="0"/>
        <v>Fase III</v>
      </c>
    </row>
    <row r="6" spans="1:29" x14ac:dyDescent="0.3">
      <c r="A6" s="13"/>
      <c r="B6" s="1" t="s">
        <v>3</v>
      </c>
      <c r="C6" s="2">
        <v>1</v>
      </c>
      <c r="D6" s="2">
        <f>C6+1</f>
        <v>2</v>
      </c>
      <c r="E6" s="2">
        <f t="shared" ref="E6:Q6" si="1">D6+1</f>
        <v>3</v>
      </c>
      <c r="F6" s="2">
        <f t="shared" si="1"/>
        <v>4</v>
      </c>
      <c r="G6" s="2">
        <f t="shared" si="1"/>
        <v>5</v>
      </c>
      <c r="H6" s="2">
        <f t="shared" si="1"/>
        <v>6</v>
      </c>
      <c r="I6" s="2">
        <f t="shared" si="1"/>
        <v>7</v>
      </c>
      <c r="J6" s="2">
        <f t="shared" si="1"/>
        <v>8</v>
      </c>
      <c r="K6" s="2">
        <f t="shared" si="1"/>
        <v>9</v>
      </c>
      <c r="L6" s="2">
        <f t="shared" si="1"/>
        <v>10</v>
      </c>
      <c r="M6" s="2">
        <f t="shared" si="1"/>
        <v>11</v>
      </c>
      <c r="N6" s="2">
        <f t="shared" si="1"/>
        <v>12</v>
      </c>
      <c r="O6" s="2">
        <f t="shared" si="1"/>
        <v>13</v>
      </c>
      <c r="P6" s="2">
        <f t="shared" si="1"/>
        <v>14</v>
      </c>
      <c r="Q6" s="2">
        <f t="shared" si="1"/>
        <v>15</v>
      </c>
      <c r="R6" s="2">
        <f t="shared" ref="R6" si="2">Q6+1</f>
        <v>16</v>
      </c>
      <c r="S6" s="2">
        <f t="shared" ref="S6" si="3">R6+1</f>
        <v>17</v>
      </c>
      <c r="T6" s="2">
        <f t="shared" ref="T6" si="4">S6+1</f>
        <v>18</v>
      </c>
      <c r="U6" s="2">
        <f t="shared" ref="U6" si="5">T6+1</f>
        <v>19</v>
      </c>
      <c r="V6" s="2">
        <f t="shared" ref="V6" si="6">U6+1</f>
        <v>20</v>
      </c>
      <c r="W6" s="2">
        <f t="shared" ref="W6" si="7">V6+1</f>
        <v>21</v>
      </c>
      <c r="X6" s="2">
        <f t="shared" ref="X6" si="8">W6+1</f>
        <v>22</v>
      </c>
      <c r="Y6" s="2">
        <f t="shared" ref="Y6" si="9">X6+1</f>
        <v>23</v>
      </c>
      <c r="Z6" s="2">
        <f t="shared" ref="Z6" si="10">Y6+1</f>
        <v>24</v>
      </c>
      <c r="AA6" s="2">
        <f t="shared" ref="AA6" si="11">Z6+1</f>
        <v>25</v>
      </c>
      <c r="AB6" s="2">
        <f t="shared" ref="AB6:AC6" si="12">AA6+1</f>
        <v>26</v>
      </c>
      <c r="AC6" s="2">
        <f t="shared" si="12"/>
        <v>27</v>
      </c>
    </row>
    <row r="7" spans="1:29" x14ac:dyDescent="0.3">
      <c r="A7" s="13"/>
      <c r="B7" s="1" t="s">
        <v>4</v>
      </c>
      <c r="C7" s="3">
        <v>45108</v>
      </c>
      <c r="D7" s="3">
        <v>45139</v>
      </c>
      <c r="E7" s="3">
        <v>45170</v>
      </c>
      <c r="F7" s="3">
        <v>45200</v>
      </c>
      <c r="G7" s="3">
        <v>45231</v>
      </c>
      <c r="H7" s="3">
        <v>45261</v>
      </c>
      <c r="I7" s="3">
        <v>45292</v>
      </c>
      <c r="J7" s="3">
        <v>45323</v>
      </c>
      <c r="K7" s="3">
        <v>45352</v>
      </c>
      <c r="L7" s="3">
        <v>45383</v>
      </c>
      <c r="M7" s="3">
        <v>45413</v>
      </c>
      <c r="N7" s="3">
        <v>45444</v>
      </c>
      <c r="O7" s="3">
        <v>45474</v>
      </c>
      <c r="P7" s="3">
        <v>45505</v>
      </c>
      <c r="Q7" s="3">
        <v>45536</v>
      </c>
      <c r="R7" s="3">
        <v>45566</v>
      </c>
      <c r="S7" s="3">
        <v>45597</v>
      </c>
      <c r="T7" s="3">
        <v>45627</v>
      </c>
      <c r="U7" s="3">
        <v>45658</v>
      </c>
      <c r="V7" s="3">
        <v>45689</v>
      </c>
      <c r="W7" s="3">
        <v>45717</v>
      </c>
      <c r="X7" s="3">
        <v>45748</v>
      </c>
      <c r="Y7" s="3">
        <v>45778</v>
      </c>
      <c r="Z7" s="3">
        <v>45809</v>
      </c>
      <c r="AA7" s="3">
        <v>45839</v>
      </c>
      <c r="AB7" s="3">
        <v>45870</v>
      </c>
      <c r="AC7" s="3">
        <v>45901</v>
      </c>
    </row>
    <row r="8" spans="1:29" x14ac:dyDescent="0.3">
      <c r="A8" s="13"/>
      <c r="B8" s="1" t="s">
        <v>70</v>
      </c>
      <c r="C8" s="4">
        <v>4100.8500000000004</v>
      </c>
      <c r="D8" s="4">
        <v>95004.95</v>
      </c>
      <c r="E8" s="4">
        <v>108678.89</v>
      </c>
      <c r="F8" s="4">
        <v>296291.37</v>
      </c>
      <c r="G8" s="4">
        <v>448848.56</v>
      </c>
      <c r="H8" s="4">
        <v>392930.44</v>
      </c>
      <c r="I8" s="4">
        <v>495413.02</v>
      </c>
      <c r="J8" s="4">
        <v>401137</v>
      </c>
      <c r="K8" s="4">
        <v>459248.03</v>
      </c>
      <c r="L8" s="4">
        <v>430722.84</v>
      </c>
      <c r="M8" s="4">
        <v>267218.58</v>
      </c>
      <c r="N8" s="4">
        <v>293080.61</v>
      </c>
      <c r="O8" s="4">
        <v>549132.5</v>
      </c>
      <c r="P8" s="4">
        <v>416425.13</v>
      </c>
      <c r="Q8" s="4">
        <v>513099.78</v>
      </c>
      <c r="R8" s="4">
        <v>622205.05000000005</v>
      </c>
      <c r="S8" s="4">
        <v>449938</v>
      </c>
      <c r="T8" s="4">
        <v>379383.3</v>
      </c>
      <c r="U8" s="4">
        <v>307641.18</v>
      </c>
      <c r="V8" s="4">
        <v>382792.25</v>
      </c>
      <c r="W8" s="4">
        <v>292141.81</v>
      </c>
      <c r="X8" s="4">
        <v>377381.81</v>
      </c>
      <c r="Y8" s="4">
        <v>302783.59999999998</v>
      </c>
      <c r="Z8" s="4">
        <v>426539.85</v>
      </c>
      <c r="AA8" s="4">
        <v>286309.11</v>
      </c>
      <c r="AB8" s="4">
        <v>157628.88</v>
      </c>
      <c r="AC8" s="4">
        <v>17072.8</v>
      </c>
    </row>
    <row r="9" spans="1:29" x14ac:dyDescent="0.3">
      <c r="A9" s="13"/>
      <c r="B9" s="1" t="s">
        <v>0</v>
      </c>
      <c r="C9" s="4">
        <f>C8</f>
        <v>4100.8500000000004</v>
      </c>
      <c r="D9" s="4">
        <f>C9+D8</f>
        <v>99105.8</v>
      </c>
      <c r="E9" s="4">
        <f t="shared" ref="E9:AC9" si="13">D9+E8</f>
        <v>207784.69</v>
      </c>
      <c r="F9" s="4">
        <f t="shared" si="13"/>
        <v>504076.06</v>
      </c>
      <c r="G9" s="4">
        <f t="shared" si="13"/>
        <v>952924.62</v>
      </c>
      <c r="H9" s="4">
        <f t="shared" si="13"/>
        <v>1345855.06</v>
      </c>
      <c r="I9" s="4">
        <f t="shared" si="13"/>
        <v>1841268.08</v>
      </c>
      <c r="J9" s="4">
        <f t="shared" si="13"/>
        <v>2242405.08</v>
      </c>
      <c r="K9" s="4">
        <f t="shared" si="13"/>
        <v>2701653.1100000003</v>
      </c>
      <c r="L9" s="4">
        <f t="shared" si="13"/>
        <v>3132375.95</v>
      </c>
      <c r="M9" s="4">
        <f t="shared" si="13"/>
        <v>3399594.5300000003</v>
      </c>
      <c r="N9" s="4">
        <f t="shared" si="13"/>
        <v>3692675.14</v>
      </c>
      <c r="O9" s="4">
        <f t="shared" si="13"/>
        <v>4241807.6400000006</v>
      </c>
      <c r="P9" s="4">
        <f t="shared" si="13"/>
        <v>4658232.7700000005</v>
      </c>
      <c r="Q9" s="4">
        <f t="shared" si="13"/>
        <v>5171332.5500000007</v>
      </c>
      <c r="R9" s="4">
        <f t="shared" si="13"/>
        <v>5793537.6000000006</v>
      </c>
      <c r="S9" s="4">
        <f t="shared" si="13"/>
        <v>6243475.6000000006</v>
      </c>
      <c r="T9" s="4">
        <f t="shared" si="13"/>
        <v>6622858.9000000004</v>
      </c>
      <c r="U9" s="4">
        <f t="shared" si="13"/>
        <v>6930500.0800000001</v>
      </c>
      <c r="V9" s="4">
        <f t="shared" si="13"/>
        <v>7313292.3300000001</v>
      </c>
      <c r="W9" s="4">
        <f t="shared" si="13"/>
        <v>7605434.1399999997</v>
      </c>
      <c r="X9" s="4">
        <f t="shared" si="13"/>
        <v>7982815.9499999993</v>
      </c>
      <c r="Y9" s="4">
        <f t="shared" si="13"/>
        <v>8285599.5499999989</v>
      </c>
      <c r="Z9" s="4">
        <f t="shared" ref="Z9" si="14">Y9+Z8</f>
        <v>8712139.3999999985</v>
      </c>
      <c r="AA9" s="4">
        <f t="shared" ref="AA9" si="15">Z9+AA8</f>
        <v>8998448.5099999979</v>
      </c>
      <c r="AB9" s="4">
        <f t="shared" ref="AB9" si="16">AA9+AB8</f>
        <v>9156077.3899999987</v>
      </c>
      <c r="AC9" s="4">
        <f t="shared" ref="AC9" si="17">AB9+AC8</f>
        <v>9173150.1899999995</v>
      </c>
    </row>
    <row r="10" spans="1:29" x14ac:dyDescent="0.3">
      <c r="A10" s="13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</row>
    <row r="11" spans="1:29" ht="36" customHeight="1" x14ac:dyDescent="0.3">
      <c r="A11" s="13"/>
      <c r="B11" s="12" t="s">
        <v>57</v>
      </c>
      <c r="C11" s="10">
        <f t="shared" ref="C11:AC11" si="18">$D$24</f>
        <v>679492.60666666657</v>
      </c>
      <c r="D11" s="10">
        <f t="shared" si="18"/>
        <v>679492.60666666657</v>
      </c>
      <c r="E11" s="10">
        <f t="shared" si="18"/>
        <v>679492.60666666657</v>
      </c>
      <c r="F11" s="10">
        <f t="shared" si="18"/>
        <v>679492.60666666657</v>
      </c>
      <c r="G11" s="10">
        <f t="shared" si="18"/>
        <v>679492.60666666657</v>
      </c>
      <c r="H11" s="10">
        <f t="shared" si="18"/>
        <v>679492.60666666657</v>
      </c>
      <c r="I11" s="10">
        <f t="shared" si="18"/>
        <v>679492.60666666657</v>
      </c>
      <c r="J11" s="10">
        <f t="shared" si="18"/>
        <v>679492.60666666657</v>
      </c>
      <c r="K11" s="10">
        <f t="shared" si="18"/>
        <v>679492.60666666657</v>
      </c>
      <c r="L11" s="10">
        <f t="shared" si="18"/>
        <v>679492.60666666657</v>
      </c>
      <c r="M11" s="10">
        <f t="shared" si="18"/>
        <v>679492.60666666657</v>
      </c>
      <c r="N11" s="10">
        <f t="shared" si="18"/>
        <v>679492.60666666657</v>
      </c>
      <c r="O11" s="10">
        <f t="shared" si="18"/>
        <v>679492.60666666657</v>
      </c>
      <c r="P11" s="10">
        <f t="shared" si="18"/>
        <v>679492.60666666657</v>
      </c>
      <c r="Q11" s="10">
        <f t="shared" si="18"/>
        <v>679492.60666666657</v>
      </c>
      <c r="R11" s="10">
        <f t="shared" si="18"/>
        <v>679492.60666666657</v>
      </c>
      <c r="S11" s="10">
        <f t="shared" si="18"/>
        <v>679492.60666666657</v>
      </c>
      <c r="T11" s="10">
        <f t="shared" si="18"/>
        <v>679492.60666666657</v>
      </c>
      <c r="U11" s="10">
        <f t="shared" si="18"/>
        <v>679492.60666666657</v>
      </c>
      <c r="V11" s="10">
        <f t="shared" si="18"/>
        <v>679492.60666666657</v>
      </c>
      <c r="W11" s="10">
        <f t="shared" si="18"/>
        <v>679492.60666666657</v>
      </c>
      <c r="X11" s="10">
        <f t="shared" si="18"/>
        <v>679492.60666666657</v>
      </c>
      <c r="Y11" s="10">
        <f t="shared" si="18"/>
        <v>679492.60666666657</v>
      </c>
      <c r="Z11" s="10">
        <f t="shared" si="18"/>
        <v>679492.60666666657</v>
      </c>
      <c r="AA11" s="10">
        <f t="shared" si="18"/>
        <v>679492.60666666657</v>
      </c>
      <c r="AB11" s="10">
        <f t="shared" si="18"/>
        <v>679492.60666666657</v>
      </c>
      <c r="AC11" s="10">
        <f t="shared" si="18"/>
        <v>679492.60666666657</v>
      </c>
    </row>
    <row r="12" spans="1:29" ht="36" customHeight="1" x14ac:dyDescent="0.3">
      <c r="A12" s="13"/>
      <c r="B12" s="12" t="s">
        <v>72</v>
      </c>
      <c r="C12" s="10">
        <f>E25</f>
        <v>779717.76615000004</v>
      </c>
      <c r="D12" s="10">
        <f>C12</f>
        <v>779717.76615000004</v>
      </c>
      <c r="E12" s="10">
        <f t="shared" ref="E12:AB12" si="19">D12</f>
        <v>779717.76615000004</v>
      </c>
      <c r="F12" s="10">
        <f t="shared" si="19"/>
        <v>779717.76615000004</v>
      </c>
      <c r="G12" s="10">
        <f t="shared" si="19"/>
        <v>779717.76615000004</v>
      </c>
      <c r="H12" s="10">
        <f t="shared" si="19"/>
        <v>779717.76615000004</v>
      </c>
      <c r="I12" s="10">
        <f t="shared" si="19"/>
        <v>779717.76615000004</v>
      </c>
      <c r="J12" s="10">
        <f t="shared" si="19"/>
        <v>779717.76615000004</v>
      </c>
      <c r="K12" s="10">
        <f t="shared" si="19"/>
        <v>779717.76615000004</v>
      </c>
      <c r="L12" s="10">
        <f t="shared" si="19"/>
        <v>779717.76615000004</v>
      </c>
      <c r="M12" s="10">
        <f t="shared" si="19"/>
        <v>779717.76615000004</v>
      </c>
      <c r="N12" s="10">
        <f t="shared" si="19"/>
        <v>779717.76615000004</v>
      </c>
      <c r="O12" s="10">
        <f t="shared" si="19"/>
        <v>779717.76615000004</v>
      </c>
      <c r="P12" s="10">
        <f t="shared" si="19"/>
        <v>779717.76615000004</v>
      </c>
      <c r="Q12" s="10">
        <f t="shared" si="19"/>
        <v>779717.76615000004</v>
      </c>
      <c r="R12" s="10">
        <f t="shared" si="19"/>
        <v>779717.76615000004</v>
      </c>
      <c r="S12" s="10">
        <f t="shared" si="19"/>
        <v>779717.76615000004</v>
      </c>
      <c r="T12" s="10">
        <f t="shared" si="19"/>
        <v>779717.76615000004</v>
      </c>
      <c r="U12" s="10">
        <f t="shared" si="19"/>
        <v>779717.76615000004</v>
      </c>
      <c r="V12" s="10">
        <f t="shared" si="19"/>
        <v>779717.76615000004</v>
      </c>
      <c r="W12" s="10">
        <f t="shared" si="19"/>
        <v>779717.76615000004</v>
      </c>
      <c r="X12" s="10">
        <f t="shared" si="19"/>
        <v>779717.76615000004</v>
      </c>
      <c r="Y12" s="10">
        <f t="shared" si="19"/>
        <v>779717.76615000004</v>
      </c>
      <c r="Z12" s="10">
        <f t="shared" si="19"/>
        <v>779717.76615000004</v>
      </c>
      <c r="AA12" s="10">
        <f t="shared" si="19"/>
        <v>779717.76615000004</v>
      </c>
      <c r="AB12" s="10">
        <f t="shared" si="19"/>
        <v>779717.76615000004</v>
      </c>
      <c r="AC12" s="10">
        <f t="shared" ref="AC12" si="20">AB12</f>
        <v>779717.76615000004</v>
      </c>
    </row>
    <row r="13" spans="1:29" ht="48.75" customHeight="1" x14ac:dyDescent="0.3">
      <c r="A13" s="13"/>
      <c r="B13" s="12" t="s">
        <v>59</v>
      </c>
      <c r="C13" s="11">
        <f>C8/C11</f>
        <v>6.0351650036594472E-3</v>
      </c>
      <c r="D13" s="11">
        <f t="shared" ref="D13:AC13" si="21">D8/D11</f>
        <v>0.13981748891435083</v>
      </c>
      <c r="E13" s="11">
        <f t="shared" si="21"/>
        <v>0.15994123988064782</v>
      </c>
      <c r="F13" s="11">
        <f t="shared" si="21"/>
        <v>0.43604796739951779</v>
      </c>
      <c r="G13" s="11">
        <f t="shared" si="21"/>
        <v>0.66056430282866663</v>
      </c>
      <c r="H13" s="11">
        <f t="shared" si="21"/>
        <v>0.57827036842618196</v>
      </c>
      <c r="I13" s="11">
        <f t="shared" si="21"/>
        <v>0.72909258340618111</v>
      </c>
      <c r="J13" s="11">
        <f t="shared" si="21"/>
        <v>0.5903478508292036</v>
      </c>
      <c r="K13" s="11">
        <f t="shared" si="21"/>
        <v>0.67586906096432298</v>
      </c>
      <c r="L13" s="11">
        <f t="shared" si="21"/>
        <v>0.63388892796488716</v>
      </c>
      <c r="M13" s="11">
        <f t="shared" si="21"/>
        <v>0.39326193895011335</v>
      </c>
      <c r="N13" s="11">
        <f t="shared" si="21"/>
        <v>0.43132273570678342</v>
      </c>
      <c r="O13" s="11">
        <f t="shared" si="21"/>
        <v>0.80815080931319638</v>
      </c>
      <c r="P13" s="11">
        <f t="shared" si="21"/>
        <v>0.61284718319868703</v>
      </c>
      <c r="Q13" s="11">
        <f t="shared" si="21"/>
        <v>0.7551219468259901</v>
      </c>
      <c r="R13" s="11">
        <f t="shared" si="21"/>
        <v>0.91569068433621725</v>
      </c>
      <c r="S13" s="11">
        <f t="shared" si="21"/>
        <v>0.66216761681517844</v>
      </c>
      <c r="T13" s="11">
        <f t="shared" si="21"/>
        <v>0.55833322729015522</v>
      </c>
      <c r="U13" s="11">
        <f t="shared" si="21"/>
        <v>0.45275132794920481</v>
      </c>
      <c r="V13" s="11">
        <f t="shared" si="21"/>
        <v>0.56335013250230026</v>
      </c>
      <c r="W13" s="11">
        <f t="shared" si="21"/>
        <v>0.429941116553331</v>
      </c>
      <c r="X13" s="11">
        <f t="shared" si="21"/>
        <v>0.55538766176028354</v>
      </c>
      <c r="Y13" s="11">
        <f t="shared" si="21"/>
        <v>0.44560249372740296</v>
      </c>
      <c r="Z13" s="11">
        <f t="shared" si="21"/>
        <v>0.62773287864373239</v>
      </c>
      <c r="AA13" s="11">
        <f t="shared" si="21"/>
        <v>0.42135721152953243</v>
      </c>
      <c r="AB13" s="11">
        <f t="shared" si="21"/>
        <v>0.23198027241719024</v>
      </c>
      <c r="AC13" s="11">
        <f t="shared" si="21"/>
        <v>2.5125806863083751E-2</v>
      </c>
    </row>
    <row r="14" spans="1:29" ht="48.75" customHeight="1" x14ac:dyDescent="0.3">
      <c r="A14" s="13"/>
      <c r="B14" s="12" t="s">
        <v>80</v>
      </c>
      <c r="C14" s="11">
        <f>C8/C12</f>
        <v>5.2594030532979929E-3</v>
      </c>
      <c r="D14" s="11">
        <f t="shared" ref="D14:AC14" si="22">D8/D12</f>
        <v>0.12184530624344296</v>
      </c>
      <c r="E14" s="11">
        <f t="shared" si="22"/>
        <v>0.13938234412256889</v>
      </c>
      <c r="F14" s="11">
        <f t="shared" si="22"/>
        <v>0.37999822867060368</v>
      </c>
      <c r="G14" s="11">
        <f t="shared" si="22"/>
        <v>0.57565516586376164</v>
      </c>
      <c r="H14" s="11">
        <f t="shared" si="22"/>
        <v>0.50393931888991883</v>
      </c>
      <c r="I14" s="11">
        <f t="shared" si="22"/>
        <v>0.63537480035397031</v>
      </c>
      <c r="J14" s="11">
        <f t="shared" si="22"/>
        <v>0.51446435802109236</v>
      </c>
      <c r="K14" s="11">
        <f t="shared" si="22"/>
        <v>0.58899264572054277</v>
      </c>
      <c r="L14" s="11">
        <f t="shared" si="22"/>
        <v>0.55240865182125232</v>
      </c>
      <c r="M14" s="11">
        <f t="shared" si="22"/>
        <v>0.34271192936829042</v>
      </c>
      <c r="N14" s="11">
        <f t="shared" si="22"/>
        <v>0.37588037970090055</v>
      </c>
      <c r="O14" s="11">
        <f t="shared" si="22"/>
        <v>0.70427085778927778</v>
      </c>
      <c r="P14" s="11">
        <f t="shared" si="22"/>
        <v>0.53407161934526093</v>
      </c>
      <c r="Q14" s="11">
        <f t="shared" si="22"/>
        <v>0.65805834146055775</v>
      </c>
      <c r="R14" s="11">
        <f t="shared" si="22"/>
        <v>0.79798752447600618</v>
      </c>
      <c r="S14" s="11">
        <f t="shared" si="22"/>
        <v>0.57705238938141901</v>
      </c>
      <c r="T14" s="11">
        <f t="shared" si="22"/>
        <v>0.48656490395656221</v>
      </c>
      <c r="U14" s="11">
        <f t="shared" si="22"/>
        <v>0.39455453416052699</v>
      </c>
      <c r="V14" s="11">
        <f t="shared" si="22"/>
        <v>0.49093693464252736</v>
      </c>
      <c r="W14" s="11">
        <f t="shared" si="22"/>
        <v>0.37467635429484175</v>
      </c>
      <c r="X14" s="11">
        <f t="shared" si="22"/>
        <v>0.48399796231832981</v>
      </c>
      <c r="Y14" s="11">
        <f t="shared" si="22"/>
        <v>0.38832461327006784</v>
      </c>
      <c r="Z14" s="11">
        <f t="shared" si="22"/>
        <v>0.54704390295750083</v>
      </c>
      <c r="AA14" s="11">
        <f t="shared" si="22"/>
        <v>0.3671958270409868</v>
      </c>
      <c r="AB14" s="11">
        <f t="shared" si="22"/>
        <v>0.20216145744417446</v>
      </c>
      <c r="AC14" s="11">
        <f t="shared" si="22"/>
        <v>2.1896127985258168E-2</v>
      </c>
    </row>
    <row r="15" spans="1:29" x14ac:dyDescent="0.3">
      <c r="A15" s="13"/>
      <c r="B15" s="44"/>
      <c r="C15" s="44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</row>
    <row r="16" spans="1:29" x14ac:dyDescent="0.3">
      <c r="A16" s="13"/>
      <c r="B16" s="1" t="s">
        <v>1</v>
      </c>
      <c r="C16" s="5">
        <f>C8/$D$21</f>
        <v>4.4704925953032939E-4</v>
      </c>
      <c r="D16" s="5">
        <f t="shared" ref="D16:AA16" si="23">D8/$D$21</f>
        <v>1.0356851030692652E-2</v>
      </c>
      <c r="E16" s="5">
        <f t="shared" si="23"/>
        <v>1.1847499250418357E-2</v>
      </c>
      <c r="F16" s="5">
        <f t="shared" si="23"/>
        <v>3.2299849437001316E-2</v>
      </c>
      <c r="G16" s="5">
        <f t="shared" si="23"/>
        <v>4.8930689098419744E-2</v>
      </c>
      <c r="H16" s="5">
        <f t="shared" si="23"/>
        <v>4.2834842105643103E-2</v>
      </c>
      <c r="I16" s="5">
        <f t="shared" si="23"/>
        <v>5.4006858030087486E-2</v>
      </c>
      <c r="J16" s="5">
        <f t="shared" si="23"/>
        <v>4.3729470431792858E-2</v>
      </c>
      <c r="K16" s="5">
        <f t="shared" si="23"/>
        <v>5.0064374886246148E-2</v>
      </c>
      <c r="L16" s="5">
        <f t="shared" si="23"/>
        <v>4.6954735404806457E-2</v>
      </c>
      <c r="M16" s="5">
        <f t="shared" si="23"/>
        <v>2.9130513996304692E-2</v>
      </c>
      <c r="N16" s="5">
        <f t="shared" si="23"/>
        <v>3.1949832274576546E-2</v>
      </c>
      <c r="O16" s="5">
        <f t="shared" si="23"/>
        <v>5.9863022912088615E-2</v>
      </c>
      <c r="P16" s="5">
        <f t="shared" si="23"/>
        <v>4.5396087644347181E-2</v>
      </c>
      <c r="Q16" s="5">
        <f t="shared" si="23"/>
        <v>5.5934959024147413E-2</v>
      </c>
      <c r="R16" s="5">
        <f t="shared" si="23"/>
        <v>6.7828939580460532E-2</v>
      </c>
      <c r="S16" s="5">
        <f t="shared" si="23"/>
        <v>4.904945309742062E-2</v>
      </c>
      <c r="T16" s="5">
        <f t="shared" si="23"/>
        <v>4.1358016836307791E-2</v>
      </c>
      <c r="U16" s="5">
        <f t="shared" si="23"/>
        <v>3.3537135403644801E-2</v>
      </c>
      <c r="V16" s="5">
        <f t="shared" si="23"/>
        <v>4.172963944461483E-2</v>
      </c>
      <c r="W16" s="5">
        <f t="shared" si="23"/>
        <v>3.1847490115061557E-2</v>
      </c>
      <c r="X16" s="5">
        <f t="shared" si="23"/>
        <v>4.1139826797058035E-2</v>
      </c>
      <c r="Y16" s="5">
        <f t="shared" si="23"/>
        <v>3.3007592127955773E-2</v>
      </c>
      <c r="Z16" s="5">
        <f t="shared" si="23"/>
        <v>4.6498731751387579E-2</v>
      </c>
      <c r="AA16" s="5">
        <f t="shared" si="23"/>
        <v>3.121164529848388E-2</v>
      </c>
      <c r="AB16" s="5">
        <f>AB8/$D$21</f>
        <v>1.7183723882754832E-2</v>
      </c>
      <c r="AC16" s="5">
        <f>AC8/$D$21</f>
        <v>1.8611708787469444E-3</v>
      </c>
    </row>
    <row r="17" spans="1:29" x14ac:dyDescent="0.3">
      <c r="A17" s="13"/>
      <c r="B17" s="1" t="s">
        <v>2</v>
      </c>
      <c r="C17" s="5">
        <f>C9/$D$21</f>
        <v>4.4704925953032939E-4</v>
      </c>
      <c r="D17" s="5">
        <f t="shared" ref="D17:AB17" si="24">D9/$D$21</f>
        <v>1.0803900290222983E-2</v>
      </c>
      <c r="E17" s="5">
        <f t="shared" si="24"/>
        <v>2.265139954064134E-2</v>
      </c>
      <c r="F17" s="5">
        <f t="shared" si="24"/>
        <v>5.4951248977642655E-2</v>
      </c>
      <c r="G17" s="5">
        <f t="shared" si="24"/>
        <v>0.1038819380760624</v>
      </c>
      <c r="H17" s="5">
        <f t="shared" si="24"/>
        <v>0.1467167801817055</v>
      </c>
      <c r="I17" s="5">
        <f t="shared" si="24"/>
        <v>0.20072363821179301</v>
      </c>
      <c r="J17" s="5">
        <f t="shared" si="24"/>
        <v>0.24445310864358585</v>
      </c>
      <c r="K17" s="5">
        <f t="shared" si="24"/>
        <v>0.29451748352983204</v>
      </c>
      <c r="L17" s="5">
        <f t="shared" si="24"/>
        <v>0.34147221893463847</v>
      </c>
      <c r="M17" s="5">
        <f t="shared" si="24"/>
        <v>0.37060273293094315</v>
      </c>
      <c r="N17" s="5">
        <f t="shared" si="24"/>
        <v>0.40255256520551969</v>
      </c>
      <c r="O17" s="5">
        <f t="shared" si="24"/>
        <v>0.46241558811760836</v>
      </c>
      <c r="P17" s="5">
        <f t="shared" si="24"/>
        <v>0.50781167576195552</v>
      </c>
      <c r="Q17" s="5">
        <f t="shared" si="24"/>
        <v>0.56374663478610298</v>
      </c>
      <c r="R17" s="5">
        <f t="shared" si="24"/>
        <v>0.63157557436656353</v>
      </c>
      <c r="S17" s="5">
        <f t="shared" si="24"/>
        <v>0.68062502746398412</v>
      </c>
      <c r="T17" s="5">
        <f t="shared" si="24"/>
        <v>0.72198304430029192</v>
      </c>
      <c r="U17" s="5">
        <f t="shared" si="24"/>
        <v>0.75552017970393659</v>
      </c>
      <c r="V17" s="5">
        <f t="shared" si="24"/>
        <v>0.79724981914855142</v>
      </c>
      <c r="W17" s="5">
        <f t="shared" si="24"/>
        <v>0.82909730926361302</v>
      </c>
      <c r="X17" s="5">
        <f t="shared" si="24"/>
        <v>0.87023713606067099</v>
      </c>
      <c r="Y17" s="5">
        <f t="shared" si="24"/>
        <v>0.90324472818862667</v>
      </c>
      <c r="Z17" s="5">
        <f t="shared" si="24"/>
        <v>0.94974345994001419</v>
      </c>
      <c r="AA17" s="5">
        <f t="shared" si="24"/>
        <v>0.98095510523849805</v>
      </c>
      <c r="AB17" s="5">
        <f t="shared" si="24"/>
        <v>0.99813882912125296</v>
      </c>
      <c r="AC17" s="5">
        <f t="shared" ref="AC17" si="25">AC9/$D$21</f>
        <v>1</v>
      </c>
    </row>
    <row r="18" spans="1:29" x14ac:dyDescent="0.3">
      <c r="A18" s="13"/>
      <c r="AB18" s="40"/>
    </row>
    <row r="19" spans="1:29" x14ac:dyDescent="0.3">
      <c r="A19" s="13"/>
      <c r="AB19" s="40"/>
    </row>
    <row r="20" spans="1:29" x14ac:dyDescent="0.3">
      <c r="A20" s="13"/>
      <c r="B20" s="31" t="s">
        <v>15</v>
      </c>
      <c r="C20" s="31"/>
      <c r="D20" s="29">
        <v>27</v>
      </c>
      <c r="E20" s="29"/>
      <c r="AB20" s="40"/>
    </row>
    <row r="21" spans="1:29" x14ac:dyDescent="0.3">
      <c r="A21" s="13"/>
      <c r="B21" s="31" t="s">
        <v>17</v>
      </c>
      <c r="C21" s="31"/>
      <c r="D21" s="33">
        <v>9173150.1899999995</v>
      </c>
      <c r="E21" s="33"/>
      <c r="AB21" s="40"/>
    </row>
    <row r="22" spans="1:29" x14ac:dyDescent="0.3">
      <c r="A22" s="13"/>
      <c r="B22" s="31" t="s">
        <v>47</v>
      </c>
      <c r="C22" s="31"/>
      <c r="D22" s="30">
        <f>AVERAGE(C16:AC16)</f>
        <v>3.7037037037037042E-2</v>
      </c>
      <c r="E22" s="30"/>
      <c r="AB22" s="40"/>
    </row>
    <row r="23" spans="1:29" x14ac:dyDescent="0.3">
      <c r="A23" s="13"/>
      <c r="B23" s="31" t="s">
        <v>56</v>
      </c>
      <c r="C23" s="31"/>
      <c r="D23" s="33">
        <f>D21/D20</f>
        <v>339746.30333333329</v>
      </c>
      <c r="E23" s="33"/>
      <c r="AB23" s="40"/>
    </row>
    <row r="24" spans="1:29" x14ac:dyDescent="0.3">
      <c r="A24" s="13"/>
      <c r="B24" s="31" t="s">
        <v>58</v>
      </c>
      <c r="C24" s="31"/>
      <c r="D24" s="33">
        <f>2*D23</f>
        <v>679492.60666666657</v>
      </c>
      <c r="E24" s="33"/>
      <c r="AB24" s="40"/>
    </row>
    <row r="25" spans="1:29" x14ac:dyDescent="0.3">
      <c r="A25" s="13"/>
      <c r="B25" s="31" t="s">
        <v>72</v>
      </c>
      <c r="C25" s="31"/>
      <c r="D25" s="35">
        <v>8.5000000000000006E-2</v>
      </c>
      <c r="E25" s="34">
        <f>D25*D21</f>
        <v>779717.76615000004</v>
      </c>
      <c r="AB25" s="40"/>
    </row>
    <row r="26" spans="1:29" x14ac:dyDescent="0.3">
      <c r="A26" s="13"/>
      <c r="AB26" s="40"/>
    </row>
    <row r="27" spans="1:29" x14ac:dyDescent="0.3">
      <c r="A27" s="13"/>
      <c r="AB27" s="40"/>
    </row>
    <row r="28" spans="1:29" x14ac:dyDescent="0.3">
      <c r="A28" s="13"/>
      <c r="B28" s="32" t="s">
        <v>55</v>
      </c>
      <c r="C28" s="32"/>
      <c r="D28" s="16" t="s">
        <v>48</v>
      </c>
      <c r="E28" s="16" t="s">
        <v>49</v>
      </c>
      <c r="F28" s="16" t="s">
        <v>53</v>
      </c>
      <c r="G28" s="16" t="s">
        <v>54</v>
      </c>
      <c r="AB28" s="40"/>
    </row>
    <row r="29" spans="1:29" x14ac:dyDescent="0.3">
      <c r="A29" s="13"/>
      <c r="B29" s="32" t="s">
        <v>50</v>
      </c>
      <c r="C29" s="32"/>
      <c r="D29">
        <v>0</v>
      </c>
      <c r="E29" s="17">
        <f>ROUND(30%*$D$20,0)</f>
        <v>8</v>
      </c>
      <c r="F29" s="18">
        <f>SUMIF($C$5:$AC$5,"Fase I",$C$8:$AC$8)</f>
        <v>2242405.08</v>
      </c>
      <c r="G29" s="19">
        <f>(SUMIF($C$5:$Q$5,"Fase I",$C$16:$Q$16))/(COUNTIF($C$5:$Q$5,"Fase I"))</f>
        <v>3.0556638580448228E-2</v>
      </c>
      <c r="AB29" s="40"/>
    </row>
    <row r="30" spans="1:29" x14ac:dyDescent="0.3">
      <c r="A30" s="13"/>
      <c r="B30" s="32" t="s">
        <v>52</v>
      </c>
      <c r="C30" s="32"/>
      <c r="D30" s="17">
        <f>E29</f>
        <v>8</v>
      </c>
      <c r="E30" s="17">
        <f>ROUND(80%*$D$20,0)</f>
        <v>22</v>
      </c>
      <c r="F30" s="18">
        <f>SUMIF($C$5:$AC$5,"Fase II",$C$8:$AC$8)</f>
        <v>5740410.8699999982</v>
      </c>
      <c r="G30" s="19">
        <f>(SUMIF($C$5:$AB$5,"Fase II",$C$16:$AB$16))/(COUNTIF($C$5:$Q$5,"Fase II"))</f>
        <v>8.939771820244076E-2</v>
      </c>
      <c r="AB30" s="40"/>
    </row>
    <row r="31" spans="1:29" x14ac:dyDescent="0.3">
      <c r="A31" s="13"/>
      <c r="B31" s="32" t="s">
        <v>51</v>
      </c>
      <c r="C31" s="32"/>
      <c r="D31" s="17">
        <f>E30</f>
        <v>22</v>
      </c>
      <c r="E31" s="17">
        <f>D20</f>
        <v>27</v>
      </c>
      <c r="F31" s="18">
        <f>SUMIF($C$5:$AC$5,"Fase III",$C$8:$AC$8)</f>
        <v>1190334.24</v>
      </c>
      <c r="G31" s="19">
        <f>SUMIF(C5:AB5,"Fase III",C16:AB16)/COUNTIF(C5:AB5,"Fase III")</f>
        <v>3.1975423265145513E-2</v>
      </c>
      <c r="AB31" s="40"/>
    </row>
    <row r="32" spans="1:29" x14ac:dyDescent="0.3">
      <c r="A32" s="13"/>
      <c r="B32" s="31"/>
      <c r="C32" s="31"/>
      <c r="AB32" s="40"/>
    </row>
    <row r="33" spans="1:28" x14ac:dyDescent="0.3">
      <c r="A33" s="13"/>
      <c r="B33" s="31"/>
      <c r="C33" s="31"/>
      <c r="AB33" s="40"/>
    </row>
    <row r="34" spans="1:28" x14ac:dyDescent="0.3">
      <c r="A34" s="13"/>
      <c r="AB34" s="40"/>
    </row>
    <row r="35" spans="1:28" x14ac:dyDescent="0.3">
      <c r="A35" s="13"/>
      <c r="AB35" s="40"/>
    </row>
    <row r="36" spans="1:28" x14ac:dyDescent="0.3">
      <c r="A36" s="13"/>
      <c r="AB36" s="40"/>
    </row>
    <row r="37" spans="1:28" x14ac:dyDescent="0.3">
      <c r="A37" s="13"/>
      <c r="AB37" s="40"/>
    </row>
    <row r="38" spans="1:28" x14ac:dyDescent="0.3">
      <c r="A38" s="13"/>
      <c r="AB38" s="40"/>
    </row>
    <row r="39" spans="1:28" x14ac:dyDescent="0.3">
      <c r="A39" s="13"/>
      <c r="AB39" s="40"/>
    </row>
    <row r="40" spans="1:28" x14ac:dyDescent="0.3">
      <c r="A40" s="13"/>
      <c r="AB40" s="40"/>
    </row>
    <row r="41" spans="1:28" x14ac:dyDescent="0.3">
      <c r="A41" s="13"/>
      <c r="AB41" s="40"/>
    </row>
    <row r="42" spans="1:28" x14ac:dyDescent="0.3">
      <c r="A42" s="13"/>
      <c r="AB42" s="40"/>
    </row>
    <row r="43" spans="1:28" x14ac:dyDescent="0.3">
      <c r="A43" s="13"/>
      <c r="AB43" s="40"/>
    </row>
    <row r="44" spans="1:28" x14ac:dyDescent="0.3">
      <c r="A44" s="13"/>
      <c r="AB44" s="40"/>
    </row>
    <row r="45" spans="1:28" x14ac:dyDescent="0.3">
      <c r="A45" s="13"/>
      <c r="AB45" s="40"/>
    </row>
    <row r="46" spans="1:28" x14ac:dyDescent="0.3">
      <c r="A46" s="13"/>
      <c r="AB46" s="40"/>
    </row>
    <row r="47" spans="1:28" x14ac:dyDescent="0.3">
      <c r="A47" s="13"/>
      <c r="AB47" s="40"/>
    </row>
    <row r="48" spans="1:28" x14ac:dyDescent="0.3">
      <c r="A48" s="13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</row>
    <row r="49" spans="1:29" ht="15" customHeight="1" x14ac:dyDescent="0.3">
      <c r="A49" s="43" t="s">
        <v>67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</row>
    <row r="50" spans="1:29" ht="15" customHeigh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</row>
    <row r="51" spans="1:29" ht="15" customHeight="1" x14ac:dyDescent="0.3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</row>
    <row r="52" spans="1:29" x14ac:dyDescent="0.3">
      <c r="A52" s="13"/>
      <c r="AB52" s="40"/>
    </row>
    <row r="53" spans="1:29" x14ac:dyDescent="0.3">
      <c r="A53" s="13" t="s">
        <v>61</v>
      </c>
      <c r="D53" t="s">
        <v>62</v>
      </c>
      <c r="I53" t="s">
        <v>63</v>
      </c>
      <c r="AB53" s="40"/>
    </row>
    <row r="54" spans="1:29" x14ac:dyDescent="0.3">
      <c r="A54" s="13" t="s">
        <v>9</v>
      </c>
      <c r="B54" s="25">
        <f>D21</f>
        <v>9173150.1899999995</v>
      </c>
      <c r="E54" t="s">
        <v>10</v>
      </c>
      <c r="F54" t="s">
        <v>8</v>
      </c>
      <c r="I54" t="s">
        <v>12</v>
      </c>
      <c r="J54" t="s">
        <v>13</v>
      </c>
      <c r="AB54" s="40"/>
    </row>
    <row r="55" spans="1:29" x14ac:dyDescent="0.3">
      <c r="A55" s="13" t="s">
        <v>10</v>
      </c>
      <c r="B55">
        <v>27</v>
      </c>
      <c r="D55" t="s">
        <v>5</v>
      </c>
      <c r="E55">
        <f>0.3*B55</f>
        <v>8.1</v>
      </c>
      <c r="F55" s="20">
        <f>$B$57</f>
        <v>452995.07111111109</v>
      </c>
      <c r="G55" s="20">
        <f>E55*(F55/2)</f>
        <v>1834630.0379999997</v>
      </c>
      <c r="I55">
        <v>0</v>
      </c>
      <c r="J55">
        <v>0</v>
      </c>
      <c r="AB55" s="40"/>
    </row>
    <row r="56" spans="1:29" x14ac:dyDescent="0.3">
      <c r="A56" s="13" t="s">
        <v>11</v>
      </c>
      <c r="B56">
        <f>0.5*B55</f>
        <v>13.5</v>
      </c>
      <c r="D56" s="20" t="s">
        <v>6</v>
      </c>
      <c r="E56">
        <f>0.5*$B$55</f>
        <v>13.5</v>
      </c>
      <c r="F56" s="20">
        <f>$B$57</f>
        <v>452995.07111111109</v>
      </c>
      <c r="G56" s="20">
        <f>F56*E56</f>
        <v>6115433.46</v>
      </c>
      <c r="I56">
        <f>E55</f>
        <v>8.1</v>
      </c>
      <c r="J56" s="20">
        <f>B57</f>
        <v>452995.07111111109</v>
      </c>
      <c r="AB56" s="40"/>
    </row>
    <row r="57" spans="1:29" x14ac:dyDescent="0.3">
      <c r="A57" s="13" t="s">
        <v>8</v>
      </c>
      <c r="B57" s="20">
        <f>(2*B54)/(SUM(B55:B56))</f>
        <v>452995.07111111109</v>
      </c>
      <c r="D57" s="20" t="s">
        <v>7</v>
      </c>
      <c r="E57">
        <f>0.2*$B$55</f>
        <v>5.4</v>
      </c>
      <c r="F57" s="20">
        <f>$B$57</f>
        <v>452995.07111111109</v>
      </c>
      <c r="G57" s="20">
        <f>E57*(F57/2)</f>
        <v>1223086.692</v>
      </c>
      <c r="I57">
        <f>SUM(E55:E56)</f>
        <v>21.6</v>
      </c>
      <c r="J57" s="20">
        <f>J56</f>
        <v>452995.07111111109</v>
      </c>
      <c r="AB57" s="40"/>
    </row>
    <row r="58" spans="1:29" x14ac:dyDescent="0.3">
      <c r="A58" s="13"/>
      <c r="D58" s="20"/>
      <c r="F58" t="s">
        <v>9</v>
      </c>
      <c r="G58" s="20">
        <f>SUM(G55:G57)</f>
        <v>9173150.1899999995</v>
      </c>
      <c r="I58">
        <f>B55</f>
        <v>27</v>
      </c>
      <c r="J58">
        <v>0</v>
      </c>
      <c r="AB58" s="40"/>
    </row>
    <row r="59" spans="1:29" x14ac:dyDescent="0.3">
      <c r="A59" s="13"/>
      <c r="AB59" s="40"/>
    </row>
    <row r="60" spans="1:29" x14ac:dyDescent="0.3">
      <c r="A60" s="13" t="s">
        <v>64</v>
      </c>
      <c r="B60">
        <v>0</v>
      </c>
      <c r="C60">
        <f t="shared" ref="C60:Q60" si="26">C6</f>
        <v>1</v>
      </c>
      <c r="D60">
        <f t="shared" si="26"/>
        <v>2</v>
      </c>
      <c r="E60">
        <f t="shared" si="26"/>
        <v>3</v>
      </c>
      <c r="F60">
        <f t="shared" si="26"/>
        <v>4</v>
      </c>
      <c r="G60">
        <f t="shared" si="26"/>
        <v>5</v>
      </c>
      <c r="H60">
        <f t="shared" si="26"/>
        <v>6</v>
      </c>
      <c r="I60">
        <f t="shared" si="26"/>
        <v>7</v>
      </c>
      <c r="J60">
        <f t="shared" si="26"/>
        <v>8</v>
      </c>
      <c r="K60">
        <f t="shared" si="26"/>
        <v>9</v>
      </c>
      <c r="L60">
        <f t="shared" si="26"/>
        <v>10</v>
      </c>
      <c r="M60">
        <f t="shared" si="26"/>
        <v>11</v>
      </c>
      <c r="N60">
        <f t="shared" si="26"/>
        <v>12</v>
      </c>
      <c r="O60">
        <f t="shared" si="26"/>
        <v>13</v>
      </c>
      <c r="P60">
        <f t="shared" si="26"/>
        <v>14</v>
      </c>
      <c r="Q60">
        <f t="shared" si="26"/>
        <v>15</v>
      </c>
      <c r="R60">
        <f t="shared" ref="R60:AB60" si="27">R6</f>
        <v>16</v>
      </c>
      <c r="S60">
        <f t="shared" si="27"/>
        <v>17</v>
      </c>
      <c r="T60">
        <f t="shared" si="27"/>
        <v>18</v>
      </c>
      <c r="U60">
        <f t="shared" si="27"/>
        <v>19</v>
      </c>
      <c r="V60">
        <f t="shared" si="27"/>
        <v>20</v>
      </c>
      <c r="W60">
        <f t="shared" si="27"/>
        <v>21</v>
      </c>
      <c r="X60">
        <f t="shared" si="27"/>
        <v>22</v>
      </c>
      <c r="Y60">
        <f t="shared" si="27"/>
        <v>23</v>
      </c>
      <c r="Z60">
        <f t="shared" si="27"/>
        <v>24</v>
      </c>
      <c r="AA60">
        <f t="shared" si="27"/>
        <v>25</v>
      </c>
      <c r="AB60" s="40">
        <f t="shared" si="27"/>
        <v>26</v>
      </c>
      <c r="AC60" s="36">
        <f>AB60+1</f>
        <v>27</v>
      </c>
    </row>
    <row r="61" spans="1:29" x14ac:dyDescent="0.3">
      <c r="A61" s="13" t="s">
        <v>65</v>
      </c>
      <c r="B61" s="18">
        <v>0</v>
      </c>
      <c r="C61" s="20">
        <v>4100.8500000000004</v>
      </c>
      <c r="D61" s="20">
        <v>95004.95</v>
      </c>
      <c r="E61" s="20">
        <v>108678.89</v>
      </c>
      <c r="F61" s="20">
        <v>296291.37</v>
      </c>
      <c r="G61" s="20">
        <v>448848.56</v>
      </c>
      <c r="H61" s="20">
        <v>392930.44</v>
      </c>
      <c r="I61" s="20">
        <v>495413.02</v>
      </c>
      <c r="J61" s="20">
        <v>401137</v>
      </c>
      <c r="K61" s="20">
        <v>459248.03</v>
      </c>
      <c r="L61" s="20">
        <v>430722.84</v>
      </c>
      <c r="M61" s="20">
        <v>267218.58</v>
      </c>
      <c r="N61" s="20">
        <v>293080.61</v>
      </c>
      <c r="O61" s="20">
        <v>549132.5</v>
      </c>
      <c r="P61" s="20">
        <v>416425.13</v>
      </c>
      <c r="Q61" s="20">
        <v>513099.78</v>
      </c>
      <c r="R61" s="20">
        <v>622205.05000000005</v>
      </c>
      <c r="S61" s="20">
        <v>449938</v>
      </c>
      <c r="T61" s="20">
        <v>379383.3</v>
      </c>
      <c r="U61" s="20">
        <v>307641.18</v>
      </c>
      <c r="V61" s="20">
        <v>382792.25</v>
      </c>
      <c r="W61" s="20">
        <v>292141.81</v>
      </c>
      <c r="X61" s="20">
        <v>377381.81</v>
      </c>
      <c r="Y61" s="20">
        <v>302783.59999999998</v>
      </c>
      <c r="Z61" s="20">
        <v>426539.85</v>
      </c>
      <c r="AA61" s="20">
        <v>286309.11</v>
      </c>
      <c r="AB61" s="42">
        <v>157628.88</v>
      </c>
      <c r="AC61" s="40">
        <v>17072.8</v>
      </c>
    </row>
    <row r="62" spans="1:29" x14ac:dyDescent="0.3">
      <c r="A62" s="13"/>
      <c r="AB62" s="40"/>
    </row>
    <row r="63" spans="1:29" x14ac:dyDescent="0.3">
      <c r="A63" s="13"/>
      <c r="AB63" s="40"/>
    </row>
    <row r="64" spans="1:29" x14ac:dyDescent="0.3">
      <c r="A64" s="13"/>
      <c r="AB64" s="40"/>
    </row>
    <row r="65" spans="1:28" x14ac:dyDescent="0.3">
      <c r="A65" s="13"/>
      <c r="AB65" s="40"/>
    </row>
    <row r="66" spans="1:28" x14ac:dyDescent="0.3">
      <c r="A66" s="13"/>
      <c r="AB66" s="40"/>
    </row>
    <row r="67" spans="1:28" x14ac:dyDescent="0.3">
      <c r="A67" s="13"/>
      <c r="AB67" s="40"/>
    </row>
    <row r="68" spans="1:28" x14ac:dyDescent="0.3">
      <c r="A68" s="13"/>
      <c r="AB68" s="40"/>
    </row>
    <row r="69" spans="1:28" x14ac:dyDescent="0.3">
      <c r="A69" s="13"/>
      <c r="H69" s="20"/>
      <c r="AB69" s="40"/>
    </row>
    <row r="70" spans="1:28" x14ac:dyDescent="0.3">
      <c r="A70" s="13"/>
      <c r="H70" s="20"/>
      <c r="AB70" s="40"/>
    </row>
    <row r="71" spans="1:28" x14ac:dyDescent="0.3">
      <c r="A71" s="13"/>
      <c r="H71" s="20"/>
      <c r="AB71" s="40"/>
    </row>
    <row r="72" spans="1:28" x14ac:dyDescent="0.3">
      <c r="A72" s="13"/>
      <c r="AB72" s="40"/>
    </row>
    <row r="73" spans="1:28" x14ac:dyDescent="0.3">
      <c r="A73" s="13"/>
      <c r="AB73" s="40"/>
    </row>
    <row r="74" spans="1:28" x14ac:dyDescent="0.3">
      <c r="A74" s="13"/>
      <c r="AB74" s="40"/>
    </row>
    <row r="75" spans="1:28" x14ac:dyDescent="0.3">
      <c r="A75" s="13"/>
      <c r="AB75" s="40"/>
    </row>
    <row r="76" spans="1:28" x14ac:dyDescent="0.3">
      <c r="A76" s="13"/>
      <c r="AB76" s="40"/>
    </row>
    <row r="77" spans="1:28" x14ac:dyDescent="0.3">
      <c r="A77" s="13"/>
      <c r="AB77" s="40"/>
    </row>
    <row r="78" spans="1:28" x14ac:dyDescent="0.3">
      <c r="A78" s="13"/>
      <c r="AB78" s="40"/>
    </row>
    <row r="79" spans="1:28" x14ac:dyDescent="0.3">
      <c r="A79" s="13"/>
      <c r="AB79" s="40"/>
    </row>
    <row r="80" spans="1:28" x14ac:dyDescent="0.3">
      <c r="A80" s="13"/>
      <c r="AB80" s="40"/>
    </row>
    <row r="81" spans="1:29" x14ac:dyDescent="0.3">
      <c r="A81" s="13"/>
      <c r="AB81" s="40"/>
    </row>
    <row r="82" spans="1:29" x14ac:dyDescent="0.3">
      <c r="A82" s="13"/>
      <c r="AB82" s="40"/>
    </row>
    <row r="83" spans="1:29" x14ac:dyDescent="0.3">
      <c r="A83" s="13"/>
      <c r="AB83" s="40"/>
    </row>
    <row r="84" spans="1:29" x14ac:dyDescent="0.3">
      <c r="A84" s="13"/>
      <c r="AB84" s="40"/>
    </row>
    <row r="85" spans="1:29" x14ac:dyDescent="0.3">
      <c r="A85" s="13"/>
      <c r="AB85" s="40"/>
    </row>
    <row r="86" spans="1:29" x14ac:dyDescent="0.3">
      <c r="A86" s="13"/>
      <c r="AB86" s="40"/>
    </row>
    <row r="87" spans="1:29" x14ac:dyDescent="0.3">
      <c r="A87" s="13"/>
      <c r="AB87" s="40"/>
    </row>
    <row r="88" spans="1:29" x14ac:dyDescent="0.3">
      <c r="A88" s="13"/>
      <c r="AB88" s="40"/>
    </row>
    <row r="89" spans="1:29" x14ac:dyDescent="0.3">
      <c r="A89" s="13"/>
      <c r="AB89" s="40"/>
    </row>
    <row r="90" spans="1:29" x14ac:dyDescent="0.3">
      <c r="A90" s="13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15"/>
      <c r="S90" s="40"/>
      <c r="T90" s="40"/>
      <c r="U90" s="40"/>
      <c r="V90" s="40"/>
      <c r="W90" s="40"/>
      <c r="X90" s="40"/>
      <c r="Y90" s="40"/>
      <c r="Z90" s="40"/>
      <c r="AA90" s="40"/>
      <c r="AB90" s="40"/>
    </row>
    <row r="91" spans="1:29" ht="15" customHeight="1" x14ac:dyDescent="0.3">
      <c r="A91" s="43" t="s">
        <v>66</v>
      </c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</row>
    <row r="92" spans="1:29" ht="15" customHeight="1" x14ac:dyDescent="0.3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</row>
    <row r="93" spans="1:29" ht="15" customHeight="1" x14ac:dyDescent="0.3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</row>
    <row r="94" spans="1:29" x14ac:dyDescent="0.3">
      <c r="A94" s="13"/>
      <c r="AB94" s="40"/>
    </row>
    <row r="95" spans="1:29" x14ac:dyDescent="0.3">
      <c r="A95" s="13"/>
      <c r="B95" s="21" t="s">
        <v>68</v>
      </c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AB95" s="40"/>
    </row>
    <row r="96" spans="1:29" x14ac:dyDescent="0.3">
      <c r="A96" s="13"/>
      <c r="E96" t="s">
        <v>14</v>
      </c>
      <c r="F96" t="s">
        <v>16</v>
      </c>
      <c r="G96" t="s">
        <v>12</v>
      </c>
      <c r="H96" t="s">
        <v>13</v>
      </c>
      <c r="AB96" s="40"/>
    </row>
    <row r="97" spans="1:29" x14ac:dyDescent="0.3">
      <c r="A97" s="13"/>
      <c r="B97" t="s">
        <v>15</v>
      </c>
      <c r="C97" s="17">
        <f>D20</f>
        <v>27</v>
      </c>
      <c r="E97" s="26">
        <v>0</v>
      </c>
      <c r="F97" s="26">
        <v>0</v>
      </c>
      <c r="G97">
        <f>E97*$C$97</f>
        <v>0</v>
      </c>
      <c r="H97" s="18">
        <f>F97*$C$98</f>
        <v>0</v>
      </c>
      <c r="AB97" s="40"/>
    </row>
    <row r="98" spans="1:29" x14ac:dyDescent="0.3">
      <c r="A98" s="13"/>
      <c r="B98" t="s">
        <v>17</v>
      </c>
      <c r="C98" s="25">
        <f>D21</f>
        <v>9173150.1899999995</v>
      </c>
      <c r="E98" s="26">
        <v>0.15</v>
      </c>
      <c r="F98" s="27">
        <v>5.1999999999999998E-2</v>
      </c>
      <c r="G98">
        <f>ROUND(E98*$C$97,0)</f>
        <v>4</v>
      </c>
      <c r="H98" s="18">
        <f t="shared" ref="H98:H100" si="28">F98*$C$98</f>
        <v>477003.80987999996</v>
      </c>
      <c r="AB98" s="40"/>
    </row>
    <row r="99" spans="1:29" x14ac:dyDescent="0.3">
      <c r="A99" s="13"/>
      <c r="E99" s="26">
        <v>0.8</v>
      </c>
      <c r="F99" s="27">
        <v>6.9000000000000006E-2</v>
      </c>
      <c r="G99">
        <f>ROUND(E99*$C$97,0)</f>
        <v>22</v>
      </c>
      <c r="H99" s="18">
        <f t="shared" si="28"/>
        <v>632947.36311000003</v>
      </c>
      <c r="AB99" s="40"/>
    </row>
    <row r="100" spans="1:29" x14ac:dyDescent="0.3">
      <c r="A100" s="13"/>
      <c r="E100" s="26">
        <v>1</v>
      </c>
      <c r="F100" s="26">
        <v>0</v>
      </c>
      <c r="G100">
        <f>ROUND(E100*$C$97,0)</f>
        <v>27</v>
      </c>
      <c r="H100" s="18">
        <f t="shared" si="28"/>
        <v>0</v>
      </c>
      <c r="AB100" s="40"/>
    </row>
    <row r="101" spans="1:29" x14ac:dyDescent="0.3">
      <c r="A101" s="13"/>
      <c r="AB101" s="40"/>
    </row>
    <row r="102" spans="1:29" x14ac:dyDescent="0.3">
      <c r="A102" s="13"/>
      <c r="B102">
        <f t="shared" ref="B102:Q102" si="29">B60</f>
        <v>0</v>
      </c>
      <c r="C102">
        <f t="shared" si="29"/>
        <v>1</v>
      </c>
      <c r="D102">
        <f t="shared" si="29"/>
        <v>2</v>
      </c>
      <c r="E102">
        <f t="shared" si="29"/>
        <v>3</v>
      </c>
      <c r="F102">
        <f t="shared" si="29"/>
        <v>4</v>
      </c>
      <c r="G102">
        <f t="shared" si="29"/>
        <v>5</v>
      </c>
      <c r="H102">
        <f t="shared" si="29"/>
        <v>6</v>
      </c>
      <c r="I102">
        <f t="shared" si="29"/>
        <v>7</v>
      </c>
      <c r="J102">
        <f t="shared" si="29"/>
        <v>8</v>
      </c>
      <c r="K102">
        <f t="shared" si="29"/>
        <v>9</v>
      </c>
      <c r="L102">
        <f t="shared" si="29"/>
        <v>10</v>
      </c>
      <c r="M102">
        <f t="shared" si="29"/>
        <v>11</v>
      </c>
      <c r="N102">
        <f t="shared" si="29"/>
        <v>12</v>
      </c>
      <c r="O102">
        <f t="shared" si="29"/>
        <v>13</v>
      </c>
      <c r="P102">
        <f t="shared" si="29"/>
        <v>14</v>
      </c>
      <c r="Q102">
        <f t="shared" si="29"/>
        <v>15</v>
      </c>
      <c r="R102">
        <f t="shared" ref="R102:AB102" si="30">R60</f>
        <v>16</v>
      </c>
      <c r="S102">
        <f t="shared" si="30"/>
        <v>17</v>
      </c>
      <c r="T102">
        <f t="shared" si="30"/>
        <v>18</v>
      </c>
      <c r="U102">
        <f t="shared" si="30"/>
        <v>19</v>
      </c>
      <c r="V102">
        <f t="shared" si="30"/>
        <v>20</v>
      </c>
      <c r="W102">
        <f t="shared" si="30"/>
        <v>21</v>
      </c>
      <c r="X102">
        <f t="shared" si="30"/>
        <v>22</v>
      </c>
      <c r="Y102">
        <f t="shared" si="30"/>
        <v>23</v>
      </c>
      <c r="Z102">
        <f t="shared" si="30"/>
        <v>24</v>
      </c>
      <c r="AA102">
        <f t="shared" si="30"/>
        <v>25</v>
      </c>
      <c r="AB102" s="40">
        <f t="shared" si="30"/>
        <v>26</v>
      </c>
      <c r="AC102" s="40">
        <v>27</v>
      </c>
    </row>
    <row r="103" spans="1:29" x14ac:dyDescent="0.3">
      <c r="A103" s="13"/>
      <c r="B103" s="18">
        <f t="shared" ref="B103" si="31">B61</f>
        <v>0</v>
      </c>
      <c r="C103" s="18">
        <v>4100.8500000000004</v>
      </c>
      <c r="D103" s="18">
        <v>95004.95</v>
      </c>
      <c r="E103" s="18">
        <v>108678.89</v>
      </c>
      <c r="F103" s="18">
        <v>296291.37</v>
      </c>
      <c r="G103" s="18">
        <v>448848.56</v>
      </c>
      <c r="H103" s="18">
        <v>392930.44</v>
      </c>
      <c r="I103" s="18">
        <v>495413.02</v>
      </c>
      <c r="J103" s="18">
        <v>401137</v>
      </c>
      <c r="K103" s="18">
        <v>459248.03</v>
      </c>
      <c r="L103" s="18">
        <v>430722.84</v>
      </c>
      <c r="M103" s="18">
        <v>267218.58</v>
      </c>
      <c r="N103" s="18">
        <v>293080.61</v>
      </c>
      <c r="O103" s="18">
        <v>549132.5</v>
      </c>
      <c r="P103" s="18">
        <v>416425.13</v>
      </c>
      <c r="Q103" s="18">
        <v>513099.78</v>
      </c>
      <c r="R103" s="18">
        <v>622205.05000000005</v>
      </c>
      <c r="S103" s="18">
        <v>449938</v>
      </c>
      <c r="T103" s="18">
        <v>379383.3</v>
      </c>
      <c r="U103" s="18">
        <v>307641.18</v>
      </c>
      <c r="V103" s="18">
        <v>382792.25</v>
      </c>
      <c r="W103" s="18">
        <v>292141.81</v>
      </c>
      <c r="X103" s="18">
        <v>377381.81</v>
      </c>
      <c r="Y103" s="18">
        <v>302783.59999999998</v>
      </c>
      <c r="Z103" s="18">
        <v>426539.85</v>
      </c>
      <c r="AA103" s="18">
        <v>286309.11</v>
      </c>
      <c r="AB103" s="18">
        <v>157628.88</v>
      </c>
      <c r="AC103" s="40">
        <v>17072.8</v>
      </c>
    </row>
    <row r="104" spans="1:29" x14ac:dyDescent="0.3">
      <c r="A104" s="13"/>
      <c r="AB104" s="40"/>
    </row>
    <row r="105" spans="1:29" x14ac:dyDescent="0.3">
      <c r="A105" s="13"/>
      <c r="AB105" s="40"/>
    </row>
    <row r="106" spans="1:29" x14ac:dyDescent="0.3">
      <c r="A106" s="13"/>
      <c r="AB106" s="40"/>
    </row>
    <row r="107" spans="1:29" x14ac:dyDescent="0.3">
      <c r="A107" s="13"/>
      <c r="AB107" s="40"/>
    </row>
    <row r="108" spans="1:29" x14ac:dyDescent="0.3">
      <c r="A108" s="13"/>
      <c r="AB108" s="40"/>
    </row>
    <row r="109" spans="1:29" x14ac:dyDescent="0.3">
      <c r="A109" s="13"/>
      <c r="AB109" s="40"/>
    </row>
    <row r="110" spans="1:29" x14ac:dyDescent="0.3">
      <c r="A110" s="13"/>
      <c r="AB110" s="40"/>
    </row>
    <row r="111" spans="1:29" x14ac:dyDescent="0.3">
      <c r="A111" s="13"/>
      <c r="AB111" s="40"/>
    </row>
    <row r="112" spans="1:29" x14ac:dyDescent="0.3">
      <c r="A112" s="13"/>
      <c r="AB112" s="40"/>
    </row>
    <row r="113" spans="1:28" x14ac:dyDescent="0.3">
      <c r="A113" s="13"/>
      <c r="AB113" s="40"/>
    </row>
    <row r="114" spans="1:28" x14ac:dyDescent="0.3">
      <c r="A114" s="13"/>
      <c r="AB114" s="40"/>
    </row>
    <row r="115" spans="1:28" x14ac:dyDescent="0.3">
      <c r="A115" s="13"/>
      <c r="AB115" s="40"/>
    </row>
    <row r="116" spans="1:28" x14ac:dyDescent="0.3">
      <c r="A116" s="13"/>
      <c r="AB116" s="40"/>
    </row>
    <row r="117" spans="1:28" x14ac:dyDescent="0.3">
      <c r="A117" s="13"/>
      <c r="AB117" s="40"/>
    </row>
    <row r="118" spans="1:28" x14ac:dyDescent="0.3">
      <c r="A118" s="13"/>
      <c r="AB118" s="40"/>
    </row>
    <row r="119" spans="1:28" x14ac:dyDescent="0.3">
      <c r="A119" s="13"/>
      <c r="AB119" s="40"/>
    </row>
    <row r="120" spans="1:28" x14ac:dyDescent="0.3">
      <c r="A120" s="13"/>
      <c r="AB120" s="40"/>
    </row>
    <row r="121" spans="1:28" x14ac:dyDescent="0.3">
      <c r="A121" s="13"/>
      <c r="AB121" s="40"/>
    </row>
    <row r="122" spans="1:28" x14ac:dyDescent="0.3">
      <c r="A122" s="13"/>
      <c r="AB122" s="40"/>
    </row>
    <row r="123" spans="1:28" x14ac:dyDescent="0.3">
      <c r="A123" s="13"/>
      <c r="AB123" s="40"/>
    </row>
    <row r="124" spans="1:28" x14ac:dyDescent="0.3">
      <c r="A124" s="13"/>
      <c r="AB124" s="40"/>
    </row>
    <row r="125" spans="1:28" ht="15.75" customHeight="1" x14ac:dyDescent="0.3">
      <c r="A125" s="13"/>
      <c r="AB125" s="40"/>
    </row>
    <row r="126" spans="1:28" x14ac:dyDescent="0.3">
      <c r="A126" s="13"/>
      <c r="AB126" s="40"/>
    </row>
    <row r="127" spans="1:28" x14ac:dyDescent="0.3">
      <c r="A127" s="13"/>
      <c r="AB127" s="40"/>
    </row>
    <row r="128" spans="1:28" x14ac:dyDescent="0.3">
      <c r="A128" s="13"/>
      <c r="AB128" s="40"/>
    </row>
    <row r="129" spans="1:30" x14ac:dyDescent="0.3">
      <c r="A129" s="13"/>
      <c r="AB129" s="40"/>
    </row>
    <row r="130" spans="1:30" x14ac:dyDescent="0.3">
      <c r="A130" s="13"/>
      <c r="AB130" s="40"/>
    </row>
    <row r="131" spans="1:30" x14ac:dyDescent="0.3">
      <c r="A131" s="13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</row>
    <row r="132" spans="1:30" ht="15" customHeight="1" x14ac:dyDescent="0.3">
      <c r="A132" s="43" t="s">
        <v>69</v>
      </c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</row>
    <row r="133" spans="1:30" ht="15" customHeight="1" x14ac:dyDescent="0.3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</row>
    <row r="134" spans="1:30" ht="15" customHeight="1" x14ac:dyDescent="0.3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</row>
    <row r="135" spans="1:30" x14ac:dyDescent="0.3">
      <c r="A135" s="13"/>
      <c r="AB135" s="40"/>
    </row>
    <row r="136" spans="1:30" x14ac:dyDescent="0.3">
      <c r="A136" s="13"/>
      <c r="B136" s="21" t="s">
        <v>71</v>
      </c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AB136" s="40"/>
    </row>
    <row r="137" spans="1:30" x14ac:dyDescent="0.3">
      <c r="A137" s="13"/>
      <c r="AB137" s="40"/>
    </row>
    <row r="138" spans="1:30" x14ac:dyDescent="0.3">
      <c r="A138" s="13"/>
      <c r="B138">
        <f>B102</f>
        <v>0</v>
      </c>
      <c r="C138">
        <f t="shared" ref="C138:Q138" si="32">C102</f>
        <v>1</v>
      </c>
      <c r="D138">
        <f t="shared" si="32"/>
        <v>2</v>
      </c>
      <c r="E138">
        <f t="shared" si="32"/>
        <v>3</v>
      </c>
      <c r="F138">
        <f t="shared" si="32"/>
        <v>4</v>
      </c>
      <c r="G138">
        <f t="shared" si="32"/>
        <v>5</v>
      </c>
      <c r="H138">
        <f t="shared" si="32"/>
        <v>6</v>
      </c>
      <c r="I138">
        <f t="shared" si="32"/>
        <v>7</v>
      </c>
      <c r="J138">
        <f t="shared" si="32"/>
        <v>8</v>
      </c>
      <c r="K138">
        <f t="shared" si="32"/>
        <v>9</v>
      </c>
      <c r="L138">
        <f t="shared" si="32"/>
        <v>10</v>
      </c>
      <c r="M138">
        <f t="shared" si="32"/>
        <v>11</v>
      </c>
      <c r="N138">
        <f t="shared" si="32"/>
        <v>12</v>
      </c>
      <c r="O138">
        <f t="shared" si="32"/>
        <v>13</v>
      </c>
      <c r="P138">
        <f t="shared" si="32"/>
        <v>14</v>
      </c>
      <c r="Q138">
        <f t="shared" si="32"/>
        <v>15</v>
      </c>
      <c r="R138">
        <f t="shared" ref="R138:AB138" si="33">R102</f>
        <v>16</v>
      </c>
      <c r="S138">
        <f t="shared" si="33"/>
        <v>17</v>
      </c>
      <c r="T138">
        <f t="shared" si="33"/>
        <v>18</v>
      </c>
      <c r="U138">
        <f t="shared" si="33"/>
        <v>19</v>
      </c>
      <c r="V138">
        <f t="shared" si="33"/>
        <v>20</v>
      </c>
      <c r="W138">
        <f t="shared" si="33"/>
        <v>21</v>
      </c>
      <c r="X138">
        <f t="shared" si="33"/>
        <v>22</v>
      </c>
      <c r="Y138">
        <f t="shared" si="33"/>
        <v>23</v>
      </c>
      <c r="Z138">
        <f t="shared" si="33"/>
        <v>24</v>
      </c>
      <c r="AA138">
        <f t="shared" si="33"/>
        <v>25</v>
      </c>
      <c r="AB138" s="40">
        <f t="shared" si="33"/>
        <v>26</v>
      </c>
      <c r="AC138" s="40">
        <v>27</v>
      </c>
    </row>
    <row r="139" spans="1:30" x14ac:dyDescent="0.3">
      <c r="A139" s="13"/>
      <c r="B139" s="20">
        <v>0</v>
      </c>
      <c r="C139" s="20">
        <v>4100.8500000000004</v>
      </c>
      <c r="D139" s="20">
        <v>99105.8</v>
      </c>
      <c r="E139" s="20">
        <v>207784.69</v>
      </c>
      <c r="F139" s="20">
        <v>504076.06</v>
      </c>
      <c r="G139" s="20">
        <v>952924.62</v>
      </c>
      <c r="H139" s="20">
        <v>1345855.06</v>
      </c>
      <c r="I139" s="20">
        <v>1841268.08</v>
      </c>
      <c r="J139" s="20">
        <v>2242405.08</v>
      </c>
      <c r="K139" s="20">
        <v>2701653.1100000003</v>
      </c>
      <c r="L139" s="20">
        <v>3132375.95</v>
      </c>
      <c r="M139" s="20">
        <v>3399594.5300000003</v>
      </c>
      <c r="N139" s="20">
        <v>3692675.14</v>
      </c>
      <c r="O139" s="20">
        <v>4241807.6400000006</v>
      </c>
      <c r="P139" s="20">
        <v>4658232.7700000005</v>
      </c>
      <c r="Q139" s="20">
        <v>5171332.5500000007</v>
      </c>
      <c r="R139" s="20">
        <v>5793537.6000000006</v>
      </c>
      <c r="S139" s="20">
        <v>6243475.6000000006</v>
      </c>
      <c r="T139" s="20">
        <v>6622858.9000000004</v>
      </c>
      <c r="U139" s="20">
        <v>6930500.0800000001</v>
      </c>
      <c r="V139" s="20">
        <v>7313292.3300000001</v>
      </c>
      <c r="W139" s="20">
        <v>7605434.1399999997</v>
      </c>
      <c r="X139" s="20">
        <v>7982815.9499999993</v>
      </c>
      <c r="Y139" s="20">
        <v>8285599.5499999989</v>
      </c>
      <c r="Z139" s="20">
        <v>8712139.3999999985</v>
      </c>
      <c r="AA139" s="20">
        <v>8998448.5099999979</v>
      </c>
      <c r="AB139" s="42">
        <v>9156077.3899999987</v>
      </c>
      <c r="AC139" s="40">
        <v>9173150.1899999995</v>
      </c>
    </row>
    <row r="140" spans="1:30" x14ac:dyDescent="0.3">
      <c r="A140" s="13"/>
      <c r="AB140" s="40"/>
    </row>
    <row r="141" spans="1:30" ht="28.8" x14ac:dyDescent="0.3">
      <c r="A141" s="13"/>
      <c r="E141" s="22" t="s">
        <v>18</v>
      </c>
      <c r="F141" s="22" t="s">
        <v>19</v>
      </c>
      <c r="H141" t="s">
        <v>12</v>
      </c>
      <c r="I141" t="s">
        <v>13</v>
      </c>
      <c r="AB141" s="40"/>
    </row>
    <row r="142" spans="1:30" x14ac:dyDescent="0.3">
      <c r="A142" s="13"/>
      <c r="E142" s="23">
        <v>0</v>
      </c>
      <c r="F142" s="23">
        <v>0</v>
      </c>
      <c r="H142">
        <v>0</v>
      </c>
      <c r="I142">
        <v>0</v>
      </c>
      <c r="AB142" s="40"/>
    </row>
    <row r="143" spans="1:30" x14ac:dyDescent="0.3">
      <c r="A143" s="13"/>
      <c r="B143" t="s">
        <v>14</v>
      </c>
      <c r="C143" s="17">
        <f>D20</f>
        <v>27</v>
      </c>
      <c r="E143" s="24">
        <v>0.16</v>
      </c>
      <c r="F143" s="24">
        <v>0.1</v>
      </c>
      <c r="H143">
        <f>ROUND(E143*$C$143,0)</f>
        <v>4</v>
      </c>
      <c r="I143" s="18">
        <f>F143*$C$144</f>
        <v>917315.01899999997</v>
      </c>
      <c r="J143" s="25"/>
      <c r="AB143" s="40"/>
    </row>
    <row r="144" spans="1:30" x14ac:dyDescent="0.3">
      <c r="A144" s="13"/>
      <c r="B144" t="s">
        <v>16</v>
      </c>
      <c r="C144" s="25">
        <f>$D$21</f>
        <v>9173150.1899999995</v>
      </c>
      <c r="E144" s="24">
        <v>0.4</v>
      </c>
      <c r="F144" s="24">
        <v>0.25</v>
      </c>
      <c r="H144">
        <f t="shared" ref="H144:H148" si="34">ROUND(E144*$C$143,0)</f>
        <v>11</v>
      </c>
      <c r="I144" s="18">
        <f t="shared" ref="I144:I148" si="35">F144*$C$144</f>
        <v>2293287.5474999999</v>
      </c>
      <c r="AB144" s="40"/>
    </row>
    <row r="145" spans="1:28" x14ac:dyDescent="0.3">
      <c r="A145" s="13"/>
      <c r="E145" s="24">
        <v>0.6</v>
      </c>
      <c r="F145" s="24">
        <v>0.5</v>
      </c>
      <c r="H145">
        <f t="shared" si="34"/>
        <v>16</v>
      </c>
      <c r="I145" s="18">
        <f t="shared" si="35"/>
        <v>4586575.0949999997</v>
      </c>
      <c r="AB145" s="40"/>
    </row>
    <row r="146" spans="1:28" x14ac:dyDescent="0.3">
      <c r="A146" s="13"/>
      <c r="E146" s="24">
        <v>0.8</v>
      </c>
      <c r="F146" s="24">
        <v>0.75</v>
      </c>
      <c r="H146">
        <f t="shared" si="34"/>
        <v>22</v>
      </c>
      <c r="I146" s="18">
        <f t="shared" si="35"/>
        <v>6879862.6425000001</v>
      </c>
      <c r="AB146" s="40"/>
    </row>
    <row r="147" spans="1:28" x14ac:dyDescent="0.3">
      <c r="A147" s="13"/>
      <c r="E147" s="24">
        <v>0.96</v>
      </c>
      <c r="F147" s="24">
        <v>0.96</v>
      </c>
      <c r="H147">
        <f t="shared" si="34"/>
        <v>26</v>
      </c>
      <c r="I147" s="18">
        <f t="shared" si="35"/>
        <v>8806224.1823999994</v>
      </c>
      <c r="AB147" s="40"/>
    </row>
    <row r="148" spans="1:28" x14ac:dyDescent="0.3">
      <c r="A148" s="13"/>
      <c r="E148" s="24">
        <v>1</v>
      </c>
      <c r="F148" s="24">
        <v>1</v>
      </c>
      <c r="H148">
        <f t="shared" si="34"/>
        <v>27</v>
      </c>
      <c r="I148" s="18">
        <f t="shared" si="35"/>
        <v>9173150.1899999995</v>
      </c>
      <c r="AB148" s="40"/>
    </row>
    <row r="149" spans="1:28" x14ac:dyDescent="0.3">
      <c r="A149" s="13"/>
      <c r="AB149" s="40"/>
    </row>
    <row r="150" spans="1:28" x14ac:dyDescent="0.3">
      <c r="A150" s="13"/>
      <c r="AB150" s="40"/>
    </row>
    <row r="151" spans="1:28" x14ac:dyDescent="0.3">
      <c r="A151" s="13"/>
      <c r="AB151" s="40"/>
    </row>
    <row r="152" spans="1:28" x14ac:dyDescent="0.3">
      <c r="A152" s="13"/>
      <c r="AB152" s="40"/>
    </row>
    <row r="153" spans="1:28" x14ac:dyDescent="0.3">
      <c r="A153" s="13"/>
      <c r="AB153" s="40"/>
    </row>
    <row r="154" spans="1:28" x14ac:dyDescent="0.3">
      <c r="A154" s="13"/>
      <c r="AB154" s="40"/>
    </row>
    <row r="155" spans="1:28" x14ac:dyDescent="0.3">
      <c r="A155" s="13"/>
      <c r="AB155" s="40"/>
    </row>
    <row r="156" spans="1:28" x14ac:dyDescent="0.3">
      <c r="A156" s="13"/>
      <c r="AB156" s="40"/>
    </row>
    <row r="157" spans="1:28" x14ac:dyDescent="0.3">
      <c r="A157" s="13"/>
      <c r="AB157" s="40"/>
    </row>
    <row r="158" spans="1:28" x14ac:dyDescent="0.3">
      <c r="A158" s="13"/>
      <c r="AB158" s="40"/>
    </row>
    <row r="159" spans="1:28" x14ac:dyDescent="0.3">
      <c r="A159" s="13"/>
      <c r="AB159" s="40"/>
    </row>
    <row r="160" spans="1:28" x14ac:dyDescent="0.3">
      <c r="A160" s="13"/>
      <c r="AB160" s="40"/>
    </row>
    <row r="161" spans="1:28" x14ac:dyDescent="0.3">
      <c r="A161" s="13"/>
      <c r="AB161" s="40"/>
    </row>
    <row r="162" spans="1:28" x14ac:dyDescent="0.3">
      <c r="A162" s="13"/>
      <c r="AB162" s="40"/>
    </row>
    <row r="163" spans="1:28" x14ac:dyDescent="0.3">
      <c r="A163" s="13"/>
      <c r="AB163" s="40"/>
    </row>
    <row r="164" spans="1:28" x14ac:dyDescent="0.3">
      <c r="A164" s="13"/>
      <c r="AB164" s="40"/>
    </row>
    <row r="165" spans="1:28" x14ac:dyDescent="0.3">
      <c r="A165" s="13"/>
      <c r="AB165" s="40"/>
    </row>
    <row r="166" spans="1:28" x14ac:dyDescent="0.3">
      <c r="A166" s="13"/>
      <c r="AB166" s="40"/>
    </row>
    <row r="167" spans="1:28" x14ac:dyDescent="0.3">
      <c r="A167" s="13"/>
      <c r="AB167" s="40"/>
    </row>
    <row r="168" spans="1:28" x14ac:dyDescent="0.3">
      <c r="A168" s="13"/>
      <c r="AB168" s="40"/>
    </row>
    <row r="169" spans="1:28" x14ac:dyDescent="0.3">
      <c r="A169" s="13"/>
      <c r="AB169" s="40"/>
    </row>
    <row r="170" spans="1:28" x14ac:dyDescent="0.3">
      <c r="A170" s="13"/>
      <c r="AB170" s="40"/>
    </row>
    <row r="171" spans="1:28" x14ac:dyDescent="0.3">
      <c r="A171" s="13"/>
      <c r="AB171" s="40"/>
    </row>
    <row r="172" spans="1:28" s="40" customFormat="1" x14ac:dyDescent="0.3"/>
    <row r="173" spans="1:28" s="40" customFormat="1" x14ac:dyDescent="0.3"/>
    <row r="174" spans="1:28" s="40" customFormat="1" x14ac:dyDescent="0.3"/>
    <row r="175" spans="1:28" s="40" customFormat="1" x14ac:dyDescent="0.3"/>
    <row r="176" spans="1:28" s="40" customFormat="1" x14ac:dyDescent="0.3"/>
    <row r="177" s="40" customFormat="1" x14ac:dyDescent="0.3"/>
    <row r="178" s="40" customFormat="1" x14ac:dyDescent="0.3"/>
    <row r="179" s="40" customFormat="1" x14ac:dyDescent="0.3"/>
    <row r="180" s="40" customFormat="1" x14ac:dyDescent="0.3"/>
  </sheetData>
  <mergeCells count="22">
    <mergeCell ref="A49:AC51"/>
    <mergeCell ref="A1:AC3"/>
    <mergeCell ref="A91:AC93"/>
    <mergeCell ref="A132:AD134"/>
    <mergeCell ref="B30:C30"/>
    <mergeCell ref="B31:C31"/>
    <mergeCell ref="B32:C32"/>
    <mergeCell ref="B33:C33"/>
    <mergeCell ref="D21:E21"/>
    <mergeCell ref="B25:C25"/>
    <mergeCell ref="D20:E20"/>
    <mergeCell ref="D22:E22"/>
    <mergeCell ref="B20:C20"/>
    <mergeCell ref="B21:C21"/>
    <mergeCell ref="B22:C22"/>
    <mergeCell ref="B28:C28"/>
    <mergeCell ref="D23:E23"/>
    <mergeCell ref="B23:C23"/>
    <mergeCell ref="B24:C24"/>
    <mergeCell ref="B15:C15"/>
    <mergeCell ref="D24:E24"/>
    <mergeCell ref="B29:C29"/>
  </mergeCells>
  <conditionalFormatting sqref="C13:AC14">
    <cfRule type="cellIs" dxfId="2" priority="1" operator="lessThan">
      <formula>1</formula>
    </cfRule>
    <cfRule type="cellIs" dxfId="1" priority="2" operator="equal">
      <formula>1</formula>
    </cfRule>
    <cfRule type="cellIs" dxfId="0" priority="3" operator="greaterThan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2:AC66"/>
  <sheetViews>
    <sheetView tabSelected="1" topLeftCell="A22" zoomScale="40" zoomScaleNormal="40" workbookViewId="0">
      <selection activeCell="B32" sqref="B32:AC66"/>
    </sheetView>
  </sheetViews>
  <sheetFormatPr defaultRowHeight="14.4" x14ac:dyDescent="0.3"/>
  <cols>
    <col min="2" max="2" width="25.88671875" bestFit="1" customWidth="1"/>
  </cols>
  <sheetData>
    <row r="32" spans="2:29" x14ac:dyDescent="0.3">
      <c r="B32" s="37" t="s">
        <v>20</v>
      </c>
      <c r="C32" s="38">
        <v>1</v>
      </c>
      <c r="D32" s="8">
        <f>C32+1</f>
        <v>2</v>
      </c>
      <c r="E32" s="8">
        <f t="shared" ref="E32:Q32" si="0">D32+1</f>
        <v>3</v>
      </c>
      <c r="F32" s="8">
        <f t="shared" si="0"/>
        <v>4</v>
      </c>
      <c r="G32" s="8">
        <f t="shared" si="0"/>
        <v>5</v>
      </c>
      <c r="H32" s="8">
        <f t="shared" si="0"/>
        <v>6</v>
      </c>
      <c r="I32" s="8">
        <f t="shared" si="0"/>
        <v>7</v>
      </c>
      <c r="J32" s="8">
        <f t="shared" si="0"/>
        <v>8</v>
      </c>
      <c r="K32" s="8">
        <f t="shared" si="0"/>
        <v>9</v>
      </c>
      <c r="L32" s="8">
        <f t="shared" si="0"/>
        <v>10</v>
      </c>
      <c r="M32" s="8">
        <f t="shared" si="0"/>
        <v>11</v>
      </c>
      <c r="N32" s="8">
        <f t="shared" si="0"/>
        <v>12</v>
      </c>
      <c r="O32" s="8">
        <f t="shared" si="0"/>
        <v>13</v>
      </c>
      <c r="P32" s="8">
        <f t="shared" si="0"/>
        <v>14</v>
      </c>
      <c r="Q32" s="8">
        <f t="shared" si="0"/>
        <v>15</v>
      </c>
      <c r="R32" s="8">
        <f t="shared" ref="R32" si="1">Q32+1</f>
        <v>16</v>
      </c>
      <c r="S32" s="8">
        <f t="shared" ref="S32" si="2">R32+1</f>
        <v>17</v>
      </c>
      <c r="T32" s="8">
        <f t="shared" ref="T32" si="3">S32+1</f>
        <v>18</v>
      </c>
      <c r="U32" s="8">
        <f t="shared" ref="U32" si="4">T32+1</f>
        <v>19</v>
      </c>
      <c r="V32" s="8">
        <f t="shared" ref="V32" si="5">U32+1</f>
        <v>20</v>
      </c>
      <c r="W32" s="8">
        <f t="shared" ref="W32" si="6">V32+1</f>
        <v>21</v>
      </c>
      <c r="X32" s="8">
        <f t="shared" ref="X32" si="7">W32+1</f>
        <v>22</v>
      </c>
      <c r="Y32" s="8">
        <f t="shared" ref="Y32" si="8">X32+1</f>
        <v>23</v>
      </c>
      <c r="Z32" s="8">
        <f t="shared" ref="Z32" si="9">Y32+1</f>
        <v>24</v>
      </c>
      <c r="AA32" s="8">
        <f t="shared" ref="AA32" si="10">Z32+1</f>
        <v>25</v>
      </c>
      <c r="AB32" s="8">
        <f t="shared" ref="AB32:AC32" si="11">AA32+1</f>
        <v>26</v>
      </c>
      <c r="AC32" s="8">
        <f t="shared" si="11"/>
        <v>27</v>
      </c>
    </row>
    <row r="33" spans="2:29" x14ac:dyDescent="0.3">
      <c r="B33" s="37"/>
      <c r="C33" s="3">
        <v>45108</v>
      </c>
      <c r="D33" s="3">
        <v>45139</v>
      </c>
      <c r="E33" s="3">
        <v>45170</v>
      </c>
      <c r="F33" s="3">
        <v>45200</v>
      </c>
      <c r="G33" s="3">
        <v>45231</v>
      </c>
      <c r="H33" s="3">
        <v>45261</v>
      </c>
      <c r="I33" s="3">
        <v>45292</v>
      </c>
      <c r="J33" s="3">
        <v>45323</v>
      </c>
      <c r="K33" s="3">
        <v>45352</v>
      </c>
      <c r="L33" s="3">
        <v>45383</v>
      </c>
      <c r="M33" s="3">
        <v>45413</v>
      </c>
      <c r="N33" s="3">
        <v>45444</v>
      </c>
      <c r="O33" s="3">
        <v>45474</v>
      </c>
      <c r="P33" s="3">
        <v>45505</v>
      </c>
      <c r="Q33" s="3">
        <v>45536</v>
      </c>
      <c r="R33" s="3">
        <v>45566</v>
      </c>
      <c r="S33" s="3">
        <v>45597</v>
      </c>
      <c r="T33" s="3">
        <v>45627</v>
      </c>
      <c r="U33" s="3">
        <v>45658</v>
      </c>
      <c r="V33" s="3">
        <v>45689</v>
      </c>
      <c r="W33" s="3">
        <v>45717</v>
      </c>
      <c r="X33" s="3">
        <v>45748</v>
      </c>
      <c r="Y33" s="3">
        <v>45778</v>
      </c>
      <c r="Z33" s="3">
        <v>45809</v>
      </c>
      <c r="AA33" s="3">
        <v>45839</v>
      </c>
      <c r="AB33" s="3">
        <v>45870</v>
      </c>
      <c r="AC33" s="3">
        <v>45901</v>
      </c>
    </row>
    <row r="34" spans="2:29" x14ac:dyDescent="0.3">
      <c r="B34" s="39" t="s">
        <v>21</v>
      </c>
      <c r="C34" s="7">
        <v>1</v>
      </c>
      <c r="D34" s="7">
        <v>1</v>
      </c>
      <c r="E34" s="7">
        <v>5</v>
      </c>
      <c r="F34" s="7">
        <v>7</v>
      </c>
      <c r="G34" s="7">
        <v>8</v>
      </c>
      <c r="H34" s="7">
        <v>8</v>
      </c>
      <c r="I34" s="7">
        <v>8</v>
      </c>
      <c r="J34" s="7">
        <v>8</v>
      </c>
      <c r="K34" s="7">
        <v>8</v>
      </c>
      <c r="L34" s="7">
        <v>8</v>
      </c>
      <c r="M34" s="7">
        <v>4</v>
      </c>
      <c r="N34" s="7">
        <v>4</v>
      </c>
      <c r="O34" s="7">
        <v>4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</row>
    <row r="35" spans="2:29" x14ac:dyDescent="0.3">
      <c r="B35" s="39" t="s">
        <v>22</v>
      </c>
      <c r="C35" s="7"/>
      <c r="D35" s="7"/>
      <c r="E35" s="7">
        <v>2</v>
      </c>
      <c r="F35" s="7">
        <v>7</v>
      </c>
      <c r="G35" s="7">
        <v>12</v>
      </c>
      <c r="H35" s="7">
        <v>12</v>
      </c>
      <c r="I35" s="7">
        <v>12</v>
      </c>
      <c r="J35" s="7">
        <v>10</v>
      </c>
      <c r="K35" s="7">
        <v>10</v>
      </c>
      <c r="L35" s="7">
        <v>10</v>
      </c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</row>
    <row r="36" spans="2:29" x14ac:dyDescent="0.3">
      <c r="B36" s="39" t="s">
        <v>23</v>
      </c>
      <c r="C36" s="7"/>
      <c r="D36" s="7"/>
      <c r="E36" s="7">
        <v>6</v>
      </c>
      <c r="F36" s="7">
        <v>9</v>
      </c>
      <c r="G36" s="7">
        <v>12</v>
      </c>
      <c r="H36" s="7">
        <v>12</v>
      </c>
      <c r="I36" s="7">
        <v>12</v>
      </c>
      <c r="J36" s="7">
        <v>6</v>
      </c>
      <c r="K36" s="7">
        <v>6</v>
      </c>
      <c r="L36" s="7">
        <v>6</v>
      </c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</row>
    <row r="37" spans="2:29" x14ac:dyDescent="0.3">
      <c r="B37" s="39" t="s">
        <v>73</v>
      </c>
      <c r="C37" s="7">
        <v>1</v>
      </c>
      <c r="D37" s="7">
        <v>1</v>
      </c>
      <c r="E37" s="7">
        <v>3</v>
      </c>
      <c r="F37" s="7">
        <v>5</v>
      </c>
      <c r="G37" s="7">
        <v>6</v>
      </c>
      <c r="H37" s="7">
        <v>6</v>
      </c>
      <c r="I37" s="7">
        <v>6</v>
      </c>
      <c r="J37" s="7">
        <v>6</v>
      </c>
      <c r="K37" s="7">
        <v>6</v>
      </c>
      <c r="L37" s="7">
        <v>6</v>
      </c>
      <c r="M37" s="7">
        <v>2</v>
      </c>
      <c r="N37" s="7">
        <v>2</v>
      </c>
      <c r="O37" s="7">
        <v>2</v>
      </c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</row>
    <row r="38" spans="2:29" x14ac:dyDescent="0.3">
      <c r="B38" s="39" t="s">
        <v>24</v>
      </c>
      <c r="C38" s="7"/>
      <c r="D38" s="7"/>
      <c r="E38" s="7">
        <v>2</v>
      </c>
      <c r="F38" s="7">
        <v>4</v>
      </c>
      <c r="G38" s="7">
        <v>6</v>
      </c>
      <c r="H38" s="7">
        <v>6</v>
      </c>
      <c r="I38" s="7">
        <v>6</v>
      </c>
      <c r="J38" s="7">
        <v>4</v>
      </c>
      <c r="K38" s="7">
        <v>4</v>
      </c>
      <c r="L38" s="7">
        <v>4</v>
      </c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</row>
    <row r="39" spans="2:29" x14ac:dyDescent="0.3">
      <c r="B39" s="39" t="s">
        <v>25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</row>
    <row r="40" spans="2:29" x14ac:dyDescent="0.3">
      <c r="B40" s="39" t="s">
        <v>74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</row>
    <row r="41" spans="2:29" x14ac:dyDescent="0.3">
      <c r="B41" s="39" t="s">
        <v>26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</row>
    <row r="42" spans="2:29" x14ac:dyDescent="0.3">
      <c r="B42" s="39" t="s">
        <v>27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</row>
    <row r="43" spans="2:29" x14ac:dyDescent="0.3">
      <c r="B43" s="39" t="s">
        <v>28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>
        <v>4</v>
      </c>
      <c r="N43" s="7">
        <v>8</v>
      </c>
      <c r="O43" s="7">
        <v>8</v>
      </c>
      <c r="P43" s="7">
        <v>12</v>
      </c>
      <c r="Q43" s="7">
        <v>3</v>
      </c>
      <c r="R43" s="7"/>
      <c r="S43" s="7"/>
      <c r="T43" s="7"/>
      <c r="U43" s="7">
        <v>1</v>
      </c>
      <c r="V43" s="7">
        <v>1</v>
      </c>
      <c r="W43" s="7">
        <v>1</v>
      </c>
      <c r="X43" s="7"/>
      <c r="Y43" s="7"/>
      <c r="Z43" s="7"/>
      <c r="AA43" s="7"/>
      <c r="AB43" s="7"/>
      <c r="AC43" s="7"/>
    </row>
    <row r="44" spans="2:29" x14ac:dyDescent="0.3">
      <c r="B44" s="39" t="s">
        <v>29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>
        <v>2</v>
      </c>
      <c r="N44" s="7">
        <v>4</v>
      </c>
      <c r="O44" s="7">
        <v>4</v>
      </c>
      <c r="P44" s="7">
        <v>6</v>
      </c>
      <c r="Q44" s="7"/>
      <c r="R44" s="7"/>
      <c r="S44" s="7"/>
      <c r="T44" s="7"/>
      <c r="U44" s="7">
        <v>1</v>
      </c>
      <c r="V44" s="7">
        <v>1</v>
      </c>
      <c r="W44" s="7">
        <v>1</v>
      </c>
      <c r="X44" s="7"/>
      <c r="Y44" s="7"/>
      <c r="Z44" s="7"/>
      <c r="AA44" s="7"/>
      <c r="AB44" s="7"/>
      <c r="AC44" s="7"/>
    </row>
    <row r="45" spans="2:29" x14ac:dyDescent="0.3">
      <c r="B45" s="39" t="s">
        <v>30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>
        <v>1</v>
      </c>
      <c r="O45" s="7">
        <v>1</v>
      </c>
      <c r="P45" s="7">
        <v>1</v>
      </c>
      <c r="Q45" s="7">
        <v>1</v>
      </c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</row>
    <row r="46" spans="2:29" x14ac:dyDescent="0.3">
      <c r="B46" s="39" t="s">
        <v>31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</row>
    <row r="47" spans="2:29" x14ac:dyDescent="0.3">
      <c r="B47" s="39" t="s">
        <v>32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</row>
    <row r="48" spans="2:29" x14ac:dyDescent="0.3">
      <c r="B48" s="39" t="s">
        <v>33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</row>
    <row r="49" spans="2:29" x14ac:dyDescent="0.3">
      <c r="B49" s="39" t="s">
        <v>34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</row>
    <row r="50" spans="2:29" x14ac:dyDescent="0.3">
      <c r="B50" s="39" t="s">
        <v>35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</row>
    <row r="51" spans="2:29" x14ac:dyDescent="0.3">
      <c r="B51" s="39" t="s">
        <v>36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>
        <v>1</v>
      </c>
      <c r="V51" s="7">
        <v>1</v>
      </c>
      <c r="W51" s="7">
        <v>1</v>
      </c>
      <c r="X51" s="7">
        <v>1</v>
      </c>
      <c r="Y51" s="7"/>
      <c r="Z51" s="7"/>
      <c r="AA51" s="7"/>
      <c r="AB51" s="7"/>
      <c r="AC51" s="7"/>
    </row>
    <row r="52" spans="2:29" x14ac:dyDescent="0.3">
      <c r="B52" s="39" t="s">
        <v>37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</row>
    <row r="53" spans="2:29" x14ac:dyDescent="0.3">
      <c r="B53" s="39" t="s">
        <v>38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>
        <v>2</v>
      </c>
      <c r="V53" s="7">
        <v>2</v>
      </c>
      <c r="W53" s="7">
        <v>2</v>
      </c>
      <c r="X53" s="7">
        <v>2</v>
      </c>
      <c r="Y53" s="7">
        <v>2</v>
      </c>
      <c r="Z53" s="7"/>
      <c r="AA53" s="7"/>
      <c r="AB53" s="7"/>
      <c r="AC53" s="7"/>
    </row>
    <row r="54" spans="2:29" x14ac:dyDescent="0.3">
      <c r="B54" s="39" t="s">
        <v>39</v>
      </c>
      <c r="C54" s="7"/>
      <c r="D54" s="7"/>
      <c r="E54" s="7"/>
      <c r="F54" s="7">
        <v>1</v>
      </c>
      <c r="G54" s="7">
        <v>1</v>
      </c>
      <c r="H54" s="7">
        <v>1</v>
      </c>
      <c r="I54" s="7">
        <v>1</v>
      </c>
      <c r="J54" s="7">
        <v>1</v>
      </c>
      <c r="K54" s="7">
        <v>2</v>
      </c>
      <c r="L54" s="7">
        <v>3</v>
      </c>
      <c r="M54" s="7">
        <v>1</v>
      </c>
      <c r="N54" s="7"/>
      <c r="O54" s="7"/>
      <c r="P54" s="7"/>
      <c r="Q54" s="7"/>
      <c r="R54" s="7"/>
      <c r="S54" s="7"/>
      <c r="T54" s="7"/>
      <c r="U54" s="7">
        <v>1</v>
      </c>
      <c r="V54" s="7">
        <v>1</v>
      </c>
      <c r="W54" s="7">
        <v>1</v>
      </c>
      <c r="X54" s="7">
        <v>1</v>
      </c>
      <c r="Y54" s="7">
        <v>1</v>
      </c>
      <c r="Z54" s="7">
        <v>1</v>
      </c>
      <c r="AA54" s="7">
        <v>1</v>
      </c>
      <c r="AB54" s="7">
        <v>1</v>
      </c>
      <c r="AC54" s="7">
        <v>1</v>
      </c>
    </row>
    <row r="55" spans="2:29" x14ac:dyDescent="0.3">
      <c r="B55" s="39" t="s">
        <v>40</v>
      </c>
      <c r="C55" s="7"/>
      <c r="D55" s="7"/>
      <c r="E55" s="7"/>
      <c r="F55" s="7">
        <v>3</v>
      </c>
      <c r="G55" s="7">
        <v>3</v>
      </c>
      <c r="H55" s="7">
        <v>3</v>
      </c>
      <c r="I55" s="7">
        <v>3</v>
      </c>
      <c r="J55" s="7">
        <v>1</v>
      </c>
      <c r="K55" s="7">
        <v>2</v>
      </c>
      <c r="L55" s="7">
        <v>3</v>
      </c>
      <c r="M55" s="7">
        <v>1</v>
      </c>
      <c r="N55" s="7"/>
      <c r="O55" s="7"/>
      <c r="P55" s="7"/>
      <c r="Q55" s="7"/>
      <c r="R55" s="7"/>
      <c r="S55" s="7"/>
      <c r="T55" s="7"/>
      <c r="U55" s="7">
        <v>1</v>
      </c>
      <c r="V55" s="7">
        <v>1</v>
      </c>
      <c r="W55" s="7">
        <v>1</v>
      </c>
      <c r="X55" s="7">
        <v>1</v>
      </c>
      <c r="Y55" s="7">
        <v>1</v>
      </c>
      <c r="Z55" s="7">
        <v>1</v>
      </c>
      <c r="AA55" s="7">
        <v>1</v>
      </c>
      <c r="AB55" s="7">
        <v>1</v>
      </c>
      <c r="AC55" s="7">
        <v>1</v>
      </c>
    </row>
    <row r="56" spans="2:29" x14ac:dyDescent="0.3">
      <c r="B56" s="39" t="s">
        <v>41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>
        <v>4</v>
      </c>
      <c r="U56" s="7">
        <v>4</v>
      </c>
      <c r="V56" s="7">
        <v>8</v>
      </c>
      <c r="W56" s="7">
        <v>16</v>
      </c>
      <c r="X56" s="7">
        <v>16</v>
      </c>
      <c r="Y56" s="7">
        <v>16</v>
      </c>
      <c r="Z56" s="7">
        <v>12</v>
      </c>
      <c r="AA56" s="7">
        <v>12</v>
      </c>
      <c r="AB56" s="7">
        <v>12</v>
      </c>
      <c r="AC56" s="7"/>
    </row>
    <row r="57" spans="2:29" x14ac:dyDescent="0.3">
      <c r="B57" s="39" t="s">
        <v>42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</row>
    <row r="58" spans="2:29" x14ac:dyDescent="0.3">
      <c r="B58" s="39" t="s">
        <v>43</v>
      </c>
      <c r="C58" s="7"/>
      <c r="D58" s="7"/>
      <c r="E58" s="7"/>
      <c r="F58" s="7"/>
      <c r="G58" s="7"/>
      <c r="H58" s="7"/>
      <c r="I58" s="7"/>
      <c r="J58" s="7"/>
      <c r="K58" s="7">
        <v>1</v>
      </c>
      <c r="L58" s="7">
        <v>1</v>
      </c>
      <c r="M58" s="7">
        <v>1</v>
      </c>
      <c r="N58" s="7">
        <v>1</v>
      </c>
      <c r="O58" s="7">
        <v>3</v>
      </c>
      <c r="P58" s="7">
        <v>3</v>
      </c>
      <c r="Q58" s="7">
        <v>3</v>
      </c>
      <c r="R58" s="7">
        <v>2</v>
      </c>
      <c r="S58" s="7"/>
      <c r="T58" s="7"/>
      <c r="U58" s="7"/>
      <c r="V58" s="7"/>
      <c r="W58" s="7"/>
      <c r="X58" s="7"/>
      <c r="Y58" s="7">
        <v>1</v>
      </c>
      <c r="Z58" s="7">
        <v>1</v>
      </c>
      <c r="AA58" s="7">
        <v>1</v>
      </c>
      <c r="AB58" s="7">
        <v>1</v>
      </c>
      <c r="AC58" s="7"/>
    </row>
    <row r="59" spans="2:29" x14ac:dyDescent="0.3">
      <c r="B59" s="39" t="s">
        <v>44</v>
      </c>
      <c r="C59" s="7"/>
      <c r="D59" s="7"/>
      <c r="E59" s="7"/>
      <c r="F59" s="7">
        <v>2</v>
      </c>
      <c r="G59" s="7">
        <v>2</v>
      </c>
      <c r="H59" s="7">
        <v>2</v>
      </c>
      <c r="I59" s="7">
        <v>2</v>
      </c>
      <c r="J59" s="7"/>
      <c r="K59" s="7">
        <v>1</v>
      </c>
      <c r="L59" s="7">
        <v>1</v>
      </c>
      <c r="M59" s="7">
        <v>1</v>
      </c>
      <c r="N59" s="7">
        <v>1</v>
      </c>
      <c r="O59" s="7">
        <v>3</v>
      </c>
      <c r="P59" s="7">
        <v>3</v>
      </c>
      <c r="Q59" s="7">
        <v>3</v>
      </c>
      <c r="R59" s="7">
        <v>2</v>
      </c>
      <c r="S59" s="7"/>
      <c r="T59" s="7"/>
      <c r="U59" s="7"/>
      <c r="V59" s="7"/>
      <c r="W59" s="7"/>
      <c r="X59" s="7"/>
      <c r="Y59" s="7">
        <v>1</v>
      </c>
      <c r="Z59" s="7">
        <v>1</v>
      </c>
      <c r="AA59" s="7">
        <v>1</v>
      </c>
      <c r="AB59" s="7">
        <v>1</v>
      </c>
      <c r="AC59" s="7"/>
    </row>
    <row r="60" spans="2:29" x14ac:dyDescent="0.3">
      <c r="B60" s="39" t="s">
        <v>45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>
        <v>2</v>
      </c>
      <c r="AC60" s="7">
        <v>2</v>
      </c>
    </row>
    <row r="61" spans="2:29" x14ac:dyDescent="0.3">
      <c r="B61" s="39" t="s">
        <v>75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</row>
    <row r="62" spans="2:29" x14ac:dyDescent="0.3">
      <c r="B62" s="39" t="s">
        <v>76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</row>
    <row r="63" spans="2:29" x14ac:dyDescent="0.3">
      <c r="B63" s="39" t="s">
        <v>77</v>
      </c>
      <c r="C63" s="7"/>
      <c r="D63" s="7"/>
      <c r="E63" s="7"/>
      <c r="F63" s="7"/>
      <c r="G63" s="7">
        <v>4</v>
      </c>
      <c r="H63" s="7">
        <v>8</v>
      </c>
      <c r="I63" s="7">
        <v>8</v>
      </c>
      <c r="J63" s="7">
        <v>8</v>
      </c>
      <c r="K63" s="7">
        <v>8</v>
      </c>
      <c r="L63" s="7">
        <v>8</v>
      </c>
      <c r="M63" s="7">
        <v>16</v>
      </c>
      <c r="N63" s="7">
        <v>12</v>
      </c>
      <c r="O63" s="7">
        <v>14</v>
      </c>
      <c r="P63" s="7">
        <v>14</v>
      </c>
      <c r="Q63" s="7">
        <v>10</v>
      </c>
      <c r="R63" s="7">
        <v>16</v>
      </c>
      <c r="S63" s="7">
        <v>14</v>
      </c>
      <c r="T63" s="7">
        <v>14</v>
      </c>
      <c r="U63" s="7">
        <v>8</v>
      </c>
      <c r="V63" s="7">
        <v>8</v>
      </c>
      <c r="W63" s="7"/>
      <c r="X63" s="7"/>
      <c r="Y63" s="7">
        <v>2</v>
      </c>
      <c r="Z63" s="7">
        <v>2</v>
      </c>
      <c r="AA63" s="7">
        <v>2</v>
      </c>
      <c r="AB63" s="7"/>
      <c r="AC63" s="7"/>
    </row>
    <row r="64" spans="2:29" x14ac:dyDescent="0.3">
      <c r="B64" s="39" t="s">
        <v>78</v>
      </c>
      <c r="C64" s="7"/>
      <c r="D64" s="7"/>
      <c r="E64" s="7"/>
      <c r="F64" s="7"/>
      <c r="G64" s="7">
        <v>4</v>
      </c>
      <c r="H64" s="7">
        <v>8</v>
      </c>
      <c r="I64" s="7">
        <v>8</v>
      </c>
      <c r="J64" s="7">
        <v>8</v>
      </c>
      <c r="K64" s="7">
        <v>8</v>
      </c>
      <c r="L64" s="7">
        <v>8</v>
      </c>
      <c r="M64" s="7">
        <v>16</v>
      </c>
      <c r="N64" s="7">
        <v>12</v>
      </c>
      <c r="O64" s="7">
        <v>13</v>
      </c>
      <c r="P64" s="7">
        <v>13</v>
      </c>
      <c r="Q64" s="7">
        <v>6</v>
      </c>
      <c r="R64" s="7">
        <v>9</v>
      </c>
      <c r="S64" s="7">
        <v>8</v>
      </c>
      <c r="T64" s="7">
        <v>8</v>
      </c>
      <c r="U64" s="7">
        <v>4</v>
      </c>
      <c r="V64" s="7">
        <v>4</v>
      </c>
      <c r="W64" s="7"/>
      <c r="X64" s="7"/>
      <c r="Y64" s="7">
        <v>1</v>
      </c>
      <c r="Z64" s="7">
        <v>1</v>
      </c>
      <c r="AA64" s="7">
        <v>1</v>
      </c>
      <c r="AB64" s="7"/>
      <c r="AC64" s="7"/>
    </row>
    <row r="65" spans="2:29" x14ac:dyDescent="0.3">
      <c r="B65" s="39" t="s">
        <v>79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>
        <v>2</v>
      </c>
      <c r="U65" s="7">
        <v>2</v>
      </c>
      <c r="V65" s="7">
        <v>4</v>
      </c>
      <c r="W65" s="7">
        <v>8</v>
      </c>
      <c r="X65" s="7">
        <v>8</v>
      </c>
      <c r="Y65" s="7">
        <v>8</v>
      </c>
      <c r="Z65" s="7">
        <v>6</v>
      </c>
      <c r="AA65" s="7">
        <v>6</v>
      </c>
      <c r="AB65" s="7">
        <v>6</v>
      </c>
      <c r="AC65" s="7"/>
    </row>
    <row r="66" spans="2:29" x14ac:dyDescent="0.3">
      <c r="B66" s="9" t="s">
        <v>46</v>
      </c>
      <c r="C66" s="6">
        <f>SUM(C34:C65)</f>
        <v>2</v>
      </c>
      <c r="D66" s="6">
        <f>SUM(D34:D65)</f>
        <v>2</v>
      </c>
      <c r="E66" s="6">
        <f>SUM(E34:E65)</f>
        <v>18</v>
      </c>
      <c r="F66" s="6">
        <f>SUM(F34:F65)</f>
        <v>38</v>
      </c>
      <c r="G66" s="6">
        <f>SUM(G34:G65)</f>
        <v>58</v>
      </c>
      <c r="H66" s="6">
        <f>SUM(H34:H65)</f>
        <v>66</v>
      </c>
      <c r="I66" s="6">
        <f>SUM(I34:I65)</f>
        <v>66</v>
      </c>
      <c r="J66" s="6">
        <f>SUM(J34:J65)</f>
        <v>52</v>
      </c>
      <c r="K66" s="6">
        <f>SUM(K34:K65)</f>
        <v>56</v>
      </c>
      <c r="L66" s="6">
        <f>SUM(L34:L65)</f>
        <v>58</v>
      </c>
      <c r="M66" s="6">
        <f>SUM(M34:M65)</f>
        <v>48</v>
      </c>
      <c r="N66" s="6">
        <f>SUM(N34:N65)</f>
        <v>45</v>
      </c>
      <c r="O66" s="6">
        <f>SUM(O34:O65)</f>
        <v>52</v>
      </c>
      <c r="P66" s="6">
        <f>SUM(P34:P65)</f>
        <v>52</v>
      </c>
      <c r="Q66" s="6">
        <f>SUM(Q34:Q65)</f>
        <v>26</v>
      </c>
      <c r="R66" s="6">
        <f>SUM(R34:R65)</f>
        <v>29</v>
      </c>
      <c r="S66" s="6">
        <f>SUM(S34:S65)</f>
        <v>22</v>
      </c>
      <c r="T66" s="6">
        <f>SUM(T34:T65)</f>
        <v>28</v>
      </c>
      <c r="U66" s="6">
        <f>SUM(U34:U65)</f>
        <v>25</v>
      </c>
      <c r="V66" s="6">
        <f>SUM(V34:V65)</f>
        <v>31</v>
      </c>
      <c r="W66" s="6">
        <f>SUM(W34:W65)</f>
        <v>31</v>
      </c>
      <c r="X66" s="6">
        <f>SUM(X34:X65)</f>
        <v>29</v>
      </c>
      <c r="Y66" s="6">
        <f>SUM(Y34:Y65)</f>
        <v>33</v>
      </c>
      <c r="Z66" s="6">
        <f>SUM(Z34:Z65)</f>
        <v>25</v>
      </c>
      <c r="AA66" s="6">
        <f>SUM(AA34:AA65)</f>
        <v>25</v>
      </c>
      <c r="AB66" s="6">
        <f>SUM(AB34:AB65)</f>
        <v>24</v>
      </c>
      <c r="AC66" s="6">
        <f>SUM(AC34:AC65)</f>
        <v>4</v>
      </c>
    </row>
  </sheetData>
  <mergeCells count="1">
    <mergeCell ref="B32:B33"/>
  </mergeCells>
  <pageMargins left="0.511811024" right="0.511811024" top="0.78740157499999996" bottom="0.78740157499999996" header="0.31496062000000002" footer="0.31496062000000002"/>
  <pageSetup paperSize="9"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CURVA S</vt:lpstr>
      <vt:lpstr>HISTOGRAMA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Cândido</dc:creator>
  <cp:lastModifiedBy>Luis Cândido</cp:lastModifiedBy>
  <cp:lastPrinted>2014-11-26T13:41:05Z</cp:lastPrinted>
  <dcterms:created xsi:type="dcterms:W3CDTF">2014-11-26T10:53:56Z</dcterms:created>
  <dcterms:modified xsi:type="dcterms:W3CDTF">2023-06-24T16:54:40Z</dcterms:modified>
</cp:coreProperties>
</file>